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Ben\Excel 2025\Sample Data\"/>
    </mc:Choice>
  </mc:AlternateContent>
  <xr:revisionPtr revIDLastSave="0" documentId="8_{26C3D26C-BAE3-4804-ACF6-F77D141D500D}" xr6:coauthVersionLast="47" xr6:coauthVersionMax="47" xr10:uidLastSave="{00000000-0000-0000-0000-000000000000}"/>
  <bookViews>
    <workbookView xWindow="-108" yWindow="-108" windowWidth="23256" windowHeight="12456" tabRatio="755" activeTab="6" xr2:uid="{00000000-000D-0000-FFFF-FFFF00000000}"/>
  </bookViews>
  <sheets>
    <sheet name="Formulas" sheetId="2" r:id="rId1"/>
    <sheet name="CopyFormulas" sheetId="3" r:id="rId2"/>
    <sheet name="YTD and Pct Increase" sheetId="5" state="hidden" r:id="rId3"/>
    <sheet name="Absolute" sheetId="6" state="hidden" r:id="rId4"/>
    <sheet name="SUM AVERAGE" sheetId="7" r:id="rId5"/>
    <sheet name="Functions-Before XLOOKUP" sheetId="8" state="hidden" r:id="rId6"/>
    <sheet name="Functions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7" l="1"/>
  <c r="J9" i="7" s="1"/>
  <c r="H2" i="3"/>
  <c r="I2" i="3" s="1"/>
  <c r="B4" i="3"/>
  <c r="L699" i="9"/>
  <c r="L698" i="9"/>
  <c r="L697" i="9"/>
  <c r="M697" i="9" s="1"/>
  <c r="L696" i="9"/>
  <c r="M696" i="9" s="1"/>
  <c r="L695" i="9"/>
  <c r="L694" i="9"/>
  <c r="L693" i="9"/>
  <c r="L692" i="9"/>
  <c r="M692" i="9" s="1"/>
  <c r="L691" i="9"/>
  <c r="M691" i="9" s="1"/>
  <c r="L690" i="9"/>
  <c r="L689" i="9"/>
  <c r="M689" i="9" s="1"/>
  <c r="L688" i="9"/>
  <c r="M688" i="9" s="1"/>
  <c r="L687" i="9"/>
  <c r="L686" i="9"/>
  <c r="M686" i="9" s="1"/>
  <c r="L685" i="9"/>
  <c r="M685" i="9" s="1"/>
  <c r="L684" i="9"/>
  <c r="M684" i="9" s="1"/>
  <c r="L683" i="9"/>
  <c r="M683" i="9" s="1"/>
  <c r="L682" i="9"/>
  <c r="M682" i="9" s="1"/>
  <c r="L681" i="9"/>
  <c r="M681" i="9" s="1"/>
  <c r="L680" i="9"/>
  <c r="M680" i="9" s="1"/>
  <c r="L679" i="9"/>
  <c r="M679" i="9" s="1"/>
  <c r="L678" i="9"/>
  <c r="M678" i="9" s="1"/>
  <c r="L677" i="9"/>
  <c r="M677" i="9" s="1"/>
  <c r="L676" i="9"/>
  <c r="M676" i="9" s="1"/>
  <c r="L675" i="9"/>
  <c r="L674" i="9"/>
  <c r="L673" i="9"/>
  <c r="M673" i="9" s="1"/>
  <c r="L672" i="9"/>
  <c r="M672" i="9" s="1"/>
  <c r="L671" i="9"/>
  <c r="M671" i="9" s="1"/>
  <c r="L670" i="9"/>
  <c r="M670" i="9" s="1"/>
  <c r="L669" i="9"/>
  <c r="M669" i="9" s="1"/>
  <c r="L668" i="9"/>
  <c r="M668" i="9" s="1"/>
  <c r="L667" i="9"/>
  <c r="M667" i="9" s="1"/>
  <c r="L666" i="9"/>
  <c r="L665" i="9"/>
  <c r="M665" i="9" s="1"/>
  <c r="L664" i="9"/>
  <c r="M664" i="9" s="1"/>
  <c r="L663" i="9"/>
  <c r="L662" i="9"/>
  <c r="L661" i="9"/>
  <c r="L660" i="9"/>
  <c r="M660" i="9" s="1"/>
  <c r="L659" i="9"/>
  <c r="M659" i="9" s="1"/>
  <c r="L658" i="9"/>
  <c r="M658" i="9" s="1"/>
  <c r="L657" i="9"/>
  <c r="M657" i="9" s="1"/>
  <c r="L656" i="9"/>
  <c r="M656" i="9" s="1"/>
  <c r="L655" i="9"/>
  <c r="M655" i="9" s="1"/>
  <c r="L654" i="9"/>
  <c r="M654" i="9" s="1"/>
  <c r="L653" i="9"/>
  <c r="M653" i="9" s="1"/>
  <c r="L652" i="9"/>
  <c r="M652" i="9" s="1"/>
  <c r="L651" i="9"/>
  <c r="L650" i="9"/>
  <c r="L649" i="9"/>
  <c r="M649" i="9" s="1"/>
  <c r="L648" i="9"/>
  <c r="M648" i="9" s="1"/>
  <c r="L647" i="9"/>
  <c r="M647" i="9" s="1"/>
  <c r="L646" i="9"/>
  <c r="M646" i="9" s="1"/>
  <c r="L645" i="9"/>
  <c r="M645" i="9" s="1"/>
  <c r="L644" i="9"/>
  <c r="M644" i="9" s="1"/>
  <c r="L643" i="9"/>
  <c r="M643" i="9" s="1"/>
  <c r="L642" i="9"/>
  <c r="L641" i="9"/>
  <c r="M641" i="9" s="1"/>
  <c r="L640" i="9"/>
  <c r="M640" i="9" s="1"/>
  <c r="L639" i="9"/>
  <c r="L638" i="9"/>
  <c r="M638" i="9" s="1"/>
  <c r="L637" i="9"/>
  <c r="M637" i="9" s="1"/>
  <c r="L636" i="9"/>
  <c r="M636" i="9" s="1"/>
  <c r="L635" i="9"/>
  <c r="M635" i="9" s="1"/>
  <c r="L634" i="9"/>
  <c r="M634" i="9" s="1"/>
  <c r="L633" i="9"/>
  <c r="M633" i="9" s="1"/>
  <c r="L632" i="9"/>
  <c r="M632" i="9" s="1"/>
  <c r="L631" i="9"/>
  <c r="M631" i="9" s="1"/>
  <c r="L630" i="9"/>
  <c r="M630" i="9" s="1"/>
  <c r="L629" i="9"/>
  <c r="M629" i="9" s="1"/>
  <c r="L628" i="9"/>
  <c r="M628" i="9" s="1"/>
  <c r="L627" i="9"/>
  <c r="L626" i="9"/>
  <c r="L625" i="9"/>
  <c r="M625" i="9" s="1"/>
  <c r="L624" i="9"/>
  <c r="M624" i="9" s="1"/>
  <c r="L623" i="9"/>
  <c r="M623" i="9" s="1"/>
  <c r="L622" i="9"/>
  <c r="M622" i="9" s="1"/>
  <c r="L621" i="9"/>
  <c r="M621" i="9" s="1"/>
  <c r="L620" i="9"/>
  <c r="M620" i="9" s="1"/>
  <c r="L619" i="9"/>
  <c r="M619" i="9" s="1"/>
  <c r="L618" i="9"/>
  <c r="L617" i="9"/>
  <c r="M617" i="9" s="1"/>
  <c r="L616" i="9"/>
  <c r="M616" i="9" s="1"/>
  <c r="L615" i="9"/>
  <c r="L614" i="9"/>
  <c r="L613" i="9"/>
  <c r="M613" i="9" s="1"/>
  <c r="L612" i="9"/>
  <c r="M612" i="9" s="1"/>
  <c r="L611" i="9"/>
  <c r="M611" i="9" s="1"/>
  <c r="L610" i="9"/>
  <c r="M610" i="9" s="1"/>
  <c r="L609" i="9"/>
  <c r="M609" i="9" s="1"/>
  <c r="L608" i="9"/>
  <c r="M608" i="9" s="1"/>
  <c r="L607" i="9"/>
  <c r="M607" i="9" s="1"/>
  <c r="L606" i="9"/>
  <c r="M606" i="9" s="1"/>
  <c r="L605" i="9"/>
  <c r="M605" i="9" s="1"/>
  <c r="L604" i="9"/>
  <c r="M604" i="9" s="1"/>
  <c r="L603" i="9"/>
  <c r="M603" i="9" s="1"/>
  <c r="L602" i="9"/>
  <c r="L601" i="9"/>
  <c r="M601" i="9" s="1"/>
  <c r="L600" i="9"/>
  <c r="M600" i="9" s="1"/>
  <c r="L599" i="9"/>
  <c r="M599" i="9" s="1"/>
  <c r="L598" i="9"/>
  <c r="M598" i="9" s="1"/>
  <c r="L597" i="9"/>
  <c r="M597" i="9" s="1"/>
  <c r="L596" i="9"/>
  <c r="M596" i="9" s="1"/>
  <c r="L595" i="9"/>
  <c r="M595" i="9" s="1"/>
  <c r="L594" i="9"/>
  <c r="L593" i="9"/>
  <c r="M593" i="9" s="1"/>
  <c r="L592" i="9"/>
  <c r="M592" i="9" s="1"/>
  <c r="L591" i="9"/>
  <c r="L590" i="9"/>
  <c r="L589" i="9"/>
  <c r="M589" i="9" s="1"/>
  <c r="L588" i="9"/>
  <c r="M588" i="9" s="1"/>
  <c r="L587" i="9"/>
  <c r="M587" i="9" s="1"/>
  <c r="L586" i="9"/>
  <c r="M586" i="9" s="1"/>
  <c r="L585" i="9"/>
  <c r="M585" i="9" s="1"/>
  <c r="L584" i="9"/>
  <c r="M584" i="9" s="1"/>
  <c r="L583" i="9"/>
  <c r="M583" i="9" s="1"/>
  <c r="L582" i="9"/>
  <c r="L581" i="9"/>
  <c r="M581" i="9" s="1"/>
  <c r="L580" i="9"/>
  <c r="M580" i="9" s="1"/>
  <c r="L579" i="9"/>
  <c r="L578" i="9"/>
  <c r="L577" i="9"/>
  <c r="M577" i="9" s="1"/>
  <c r="L576" i="9"/>
  <c r="M576" i="9" s="1"/>
  <c r="L575" i="9"/>
  <c r="M575" i="9" s="1"/>
  <c r="L574" i="9"/>
  <c r="M574" i="9" s="1"/>
  <c r="L573" i="9"/>
  <c r="M573" i="9" s="1"/>
  <c r="L572" i="9"/>
  <c r="M572" i="9" s="1"/>
  <c r="L571" i="9"/>
  <c r="M571" i="9" s="1"/>
  <c r="L570" i="9"/>
  <c r="L569" i="9"/>
  <c r="M569" i="9" s="1"/>
  <c r="L568" i="9"/>
  <c r="M568" i="9" s="1"/>
  <c r="L567" i="9"/>
  <c r="L566" i="9"/>
  <c r="L565" i="9"/>
  <c r="M565" i="9" s="1"/>
  <c r="L564" i="9"/>
  <c r="M564" i="9" s="1"/>
  <c r="L563" i="9"/>
  <c r="M563" i="9" s="1"/>
  <c r="L562" i="9"/>
  <c r="M562" i="9" s="1"/>
  <c r="L561" i="9"/>
  <c r="M561" i="9" s="1"/>
  <c r="L560" i="9"/>
  <c r="M560" i="9" s="1"/>
  <c r="L559" i="9"/>
  <c r="M559" i="9" s="1"/>
  <c r="L558" i="9"/>
  <c r="L557" i="9"/>
  <c r="M557" i="9" s="1"/>
  <c r="L556" i="9"/>
  <c r="M556" i="9" s="1"/>
  <c r="L555" i="9"/>
  <c r="M555" i="9" s="1"/>
  <c r="L554" i="9"/>
  <c r="L553" i="9"/>
  <c r="M553" i="9" s="1"/>
  <c r="L552" i="9"/>
  <c r="M552" i="9" s="1"/>
  <c r="L551" i="9"/>
  <c r="M551" i="9" s="1"/>
  <c r="L550" i="9"/>
  <c r="M550" i="9" s="1"/>
  <c r="L549" i="9"/>
  <c r="M549" i="9" s="1"/>
  <c r="L548" i="9"/>
  <c r="M548" i="9" s="1"/>
  <c r="L547" i="9"/>
  <c r="M547" i="9" s="1"/>
  <c r="L546" i="9"/>
  <c r="L545" i="9"/>
  <c r="M545" i="9" s="1"/>
  <c r="L544" i="9"/>
  <c r="M544" i="9" s="1"/>
  <c r="L543" i="9"/>
  <c r="M543" i="9" s="1"/>
  <c r="L542" i="9"/>
  <c r="L541" i="9"/>
  <c r="M541" i="9" s="1"/>
  <c r="L540" i="9"/>
  <c r="M540" i="9" s="1"/>
  <c r="L539" i="9"/>
  <c r="M539" i="9" s="1"/>
  <c r="L538" i="9"/>
  <c r="M538" i="9" s="1"/>
  <c r="L537" i="9"/>
  <c r="M537" i="9" s="1"/>
  <c r="L536" i="9"/>
  <c r="M536" i="9" s="1"/>
  <c r="L535" i="9"/>
  <c r="M535" i="9" s="1"/>
  <c r="L534" i="9"/>
  <c r="L533" i="9"/>
  <c r="M533" i="9" s="1"/>
  <c r="L532" i="9"/>
  <c r="M532" i="9" s="1"/>
  <c r="L531" i="9"/>
  <c r="L530" i="9"/>
  <c r="M530" i="9" s="1"/>
  <c r="L529" i="9"/>
  <c r="L528" i="9"/>
  <c r="M528" i="9" s="1"/>
  <c r="L527" i="9"/>
  <c r="M527" i="9" s="1"/>
  <c r="L526" i="9"/>
  <c r="M526" i="9" s="1"/>
  <c r="L525" i="9"/>
  <c r="M525" i="9" s="1"/>
  <c r="L524" i="9"/>
  <c r="M524" i="9" s="1"/>
  <c r="L523" i="9"/>
  <c r="M523" i="9" s="1"/>
  <c r="L522" i="9"/>
  <c r="L521" i="9"/>
  <c r="M521" i="9" s="1"/>
  <c r="L520" i="9"/>
  <c r="M520" i="9" s="1"/>
  <c r="L519" i="9"/>
  <c r="L518" i="9"/>
  <c r="L517" i="9"/>
  <c r="M517" i="9" s="1"/>
  <c r="L516" i="9"/>
  <c r="M516" i="9" s="1"/>
  <c r="L515" i="9"/>
  <c r="M515" i="9" s="1"/>
  <c r="L514" i="9"/>
  <c r="M514" i="9" s="1"/>
  <c r="L513" i="9"/>
  <c r="M513" i="9" s="1"/>
  <c r="L512" i="9"/>
  <c r="M512" i="9" s="1"/>
  <c r="L511" i="9"/>
  <c r="M511" i="9" s="1"/>
  <c r="L510" i="9"/>
  <c r="M510" i="9" s="1"/>
  <c r="L509" i="9"/>
  <c r="M509" i="9" s="1"/>
  <c r="L508" i="9"/>
  <c r="M508" i="9" s="1"/>
  <c r="L507" i="9"/>
  <c r="L506" i="9"/>
  <c r="L505" i="9"/>
  <c r="M505" i="9" s="1"/>
  <c r="L504" i="9"/>
  <c r="M504" i="9" s="1"/>
  <c r="L503" i="9"/>
  <c r="M503" i="9" s="1"/>
  <c r="L502" i="9"/>
  <c r="M502" i="9" s="1"/>
  <c r="L501" i="9"/>
  <c r="M501" i="9" s="1"/>
  <c r="L500" i="9"/>
  <c r="M500" i="9" s="1"/>
  <c r="L499" i="9"/>
  <c r="M499" i="9" s="1"/>
  <c r="L498" i="9"/>
  <c r="L497" i="9"/>
  <c r="M497" i="9" s="1"/>
  <c r="L496" i="9"/>
  <c r="M496" i="9" s="1"/>
  <c r="L495" i="9"/>
  <c r="L494" i="9"/>
  <c r="L493" i="9"/>
  <c r="M493" i="9" s="1"/>
  <c r="L492" i="9"/>
  <c r="M492" i="9" s="1"/>
  <c r="L491" i="9"/>
  <c r="M491" i="9" s="1"/>
  <c r="L490" i="9"/>
  <c r="M490" i="9" s="1"/>
  <c r="L489" i="9"/>
  <c r="M489" i="9" s="1"/>
  <c r="L488" i="9"/>
  <c r="M488" i="9" s="1"/>
  <c r="L487" i="9"/>
  <c r="M487" i="9" s="1"/>
  <c r="L486" i="9"/>
  <c r="M486" i="9" s="1"/>
  <c r="L485" i="9"/>
  <c r="M485" i="9" s="1"/>
  <c r="L484" i="9"/>
  <c r="M484" i="9" s="1"/>
  <c r="L483" i="9"/>
  <c r="L482" i="9"/>
  <c r="L481" i="9"/>
  <c r="M481" i="9" s="1"/>
  <c r="L480" i="9"/>
  <c r="M480" i="9" s="1"/>
  <c r="L479" i="9"/>
  <c r="M479" i="9" s="1"/>
  <c r="L478" i="9"/>
  <c r="M478" i="9" s="1"/>
  <c r="L477" i="9"/>
  <c r="M477" i="9" s="1"/>
  <c r="L476" i="9"/>
  <c r="M476" i="9" s="1"/>
  <c r="L475" i="9"/>
  <c r="M475" i="9" s="1"/>
  <c r="L474" i="9"/>
  <c r="L473" i="9"/>
  <c r="M473" i="9" s="1"/>
  <c r="L472" i="9"/>
  <c r="M472" i="9" s="1"/>
  <c r="L471" i="9"/>
  <c r="L470" i="9"/>
  <c r="L469" i="9"/>
  <c r="M469" i="9" s="1"/>
  <c r="L468" i="9"/>
  <c r="M468" i="9" s="1"/>
  <c r="L467" i="9"/>
  <c r="M467" i="9" s="1"/>
  <c r="L466" i="9"/>
  <c r="M466" i="9" s="1"/>
  <c r="L465" i="9"/>
  <c r="M465" i="9" s="1"/>
  <c r="L464" i="9"/>
  <c r="M464" i="9" s="1"/>
  <c r="L463" i="9"/>
  <c r="M463" i="9" s="1"/>
  <c r="L462" i="9"/>
  <c r="M462" i="9" s="1"/>
  <c r="L461" i="9"/>
  <c r="M461" i="9" s="1"/>
  <c r="L460" i="9"/>
  <c r="M460" i="9" s="1"/>
  <c r="L459" i="9"/>
  <c r="L458" i="9"/>
  <c r="L457" i="9"/>
  <c r="M457" i="9" s="1"/>
  <c r="L456" i="9"/>
  <c r="M456" i="9" s="1"/>
  <c r="L455" i="9"/>
  <c r="M455" i="9" s="1"/>
  <c r="L454" i="9"/>
  <c r="M454" i="9" s="1"/>
  <c r="L453" i="9"/>
  <c r="M453" i="9" s="1"/>
  <c r="L452" i="9"/>
  <c r="M452" i="9" s="1"/>
  <c r="L451" i="9"/>
  <c r="M451" i="9" s="1"/>
  <c r="L450" i="9"/>
  <c r="L449" i="9"/>
  <c r="M449" i="9" s="1"/>
  <c r="L448" i="9"/>
  <c r="M448" i="9" s="1"/>
  <c r="L447" i="9"/>
  <c r="M447" i="9" s="1"/>
  <c r="L446" i="9"/>
  <c r="L445" i="9"/>
  <c r="M445" i="9" s="1"/>
  <c r="L444" i="9"/>
  <c r="M444" i="9" s="1"/>
  <c r="L443" i="9"/>
  <c r="M443" i="9" s="1"/>
  <c r="L442" i="9"/>
  <c r="M442" i="9" s="1"/>
  <c r="L441" i="9"/>
  <c r="M441" i="9" s="1"/>
  <c r="L440" i="9"/>
  <c r="M440" i="9" s="1"/>
  <c r="L439" i="9"/>
  <c r="M439" i="9" s="1"/>
  <c r="L438" i="9"/>
  <c r="M438" i="9" s="1"/>
  <c r="L437" i="9"/>
  <c r="M437" i="9" s="1"/>
  <c r="L436" i="9"/>
  <c r="M436" i="9" s="1"/>
  <c r="L435" i="9"/>
  <c r="L434" i="9"/>
  <c r="L433" i="9"/>
  <c r="M433" i="9" s="1"/>
  <c r="L432" i="9"/>
  <c r="M432" i="9" s="1"/>
  <c r="L431" i="9"/>
  <c r="M431" i="9" s="1"/>
  <c r="L430" i="9"/>
  <c r="M430" i="9" s="1"/>
  <c r="L429" i="9"/>
  <c r="M429" i="9" s="1"/>
  <c r="L428" i="9"/>
  <c r="M428" i="9" s="1"/>
  <c r="L427" i="9"/>
  <c r="M427" i="9" s="1"/>
  <c r="L426" i="9"/>
  <c r="L425" i="9"/>
  <c r="M425" i="9" s="1"/>
  <c r="L424" i="9"/>
  <c r="M424" i="9" s="1"/>
  <c r="L423" i="9"/>
  <c r="L422" i="9"/>
  <c r="L421" i="9"/>
  <c r="M421" i="9" s="1"/>
  <c r="L420" i="9"/>
  <c r="M420" i="9" s="1"/>
  <c r="L419" i="9"/>
  <c r="M419" i="9" s="1"/>
  <c r="L418" i="9"/>
  <c r="M418" i="9" s="1"/>
  <c r="L417" i="9"/>
  <c r="M417" i="9" s="1"/>
  <c r="L416" i="9"/>
  <c r="M416" i="9" s="1"/>
  <c r="L415" i="9"/>
  <c r="M415" i="9" s="1"/>
  <c r="L414" i="9"/>
  <c r="M414" i="9" s="1"/>
  <c r="L413" i="9"/>
  <c r="M413" i="9" s="1"/>
  <c r="L412" i="9"/>
  <c r="M412" i="9" s="1"/>
  <c r="L411" i="9"/>
  <c r="L410" i="9"/>
  <c r="L409" i="9"/>
  <c r="M409" i="9" s="1"/>
  <c r="L408" i="9"/>
  <c r="M408" i="9" s="1"/>
  <c r="L407" i="9"/>
  <c r="M407" i="9" s="1"/>
  <c r="L406" i="9"/>
  <c r="M406" i="9" s="1"/>
  <c r="L405" i="9"/>
  <c r="M405" i="9" s="1"/>
  <c r="L404" i="9"/>
  <c r="M404" i="9" s="1"/>
  <c r="L403" i="9"/>
  <c r="M403" i="9" s="1"/>
  <c r="L402" i="9"/>
  <c r="L401" i="9"/>
  <c r="M401" i="9" s="1"/>
  <c r="L400" i="9"/>
  <c r="M400" i="9" s="1"/>
  <c r="L399" i="9"/>
  <c r="L398" i="9"/>
  <c r="L397" i="9"/>
  <c r="M397" i="9" s="1"/>
  <c r="L396" i="9"/>
  <c r="M396" i="9" s="1"/>
  <c r="L395" i="9"/>
  <c r="M395" i="9" s="1"/>
  <c r="L394" i="9"/>
  <c r="M394" i="9" s="1"/>
  <c r="L393" i="9"/>
  <c r="M393" i="9" s="1"/>
  <c r="L392" i="9"/>
  <c r="M392" i="9" s="1"/>
  <c r="L391" i="9"/>
  <c r="M391" i="9" s="1"/>
  <c r="L390" i="9"/>
  <c r="M390" i="9" s="1"/>
  <c r="L389" i="9"/>
  <c r="M389" i="9" s="1"/>
  <c r="L388" i="9"/>
  <c r="M388" i="9" s="1"/>
  <c r="L387" i="9"/>
  <c r="M387" i="9" s="1"/>
  <c r="L386" i="9"/>
  <c r="L385" i="9"/>
  <c r="M385" i="9" s="1"/>
  <c r="L384" i="9"/>
  <c r="M384" i="9" s="1"/>
  <c r="L383" i="9"/>
  <c r="M383" i="9" s="1"/>
  <c r="L382" i="9"/>
  <c r="M382" i="9" s="1"/>
  <c r="L381" i="9"/>
  <c r="M381" i="9" s="1"/>
  <c r="L380" i="9"/>
  <c r="M380" i="9" s="1"/>
  <c r="L379" i="9"/>
  <c r="M379" i="9" s="1"/>
  <c r="L378" i="9"/>
  <c r="L377" i="9"/>
  <c r="M377" i="9" s="1"/>
  <c r="L376" i="9"/>
  <c r="M376" i="9" s="1"/>
  <c r="L375" i="9"/>
  <c r="L374" i="9"/>
  <c r="L373" i="9"/>
  <c r="M373" i="9" s="1"/>
  <c r="L372" i="9"/>
  <c r="M372" i="9" s="1"/>
  <c r="L371" i="9"/>
  <c r="M371" i="9" s="1"/>
  <c r="L370" i="9"/>
  <c r="M370" i="9" s="1"/>
  <c r="L369" i="9"/>
  <c r="M369" i="9" s="1"/>
  <c r="L368" i="9"/>
  <c r="M368" i="9" s="1"/>
  <c r="L367" i="9"/>
  <c r="M367" i="9" s="1"/>
  <c r="L366" i="9"/>
  <c r="M366" i="9" s="1"/>
  <c r="L365" i="9"/>
  <c r="M365" i="9" s="1"/>
  <c r="L364" i="9"/>
  <c r="M364" i="9" s="1"/>
  <c r="L363" i="9"/>
  <c r="M363" i="9" s="1"/>
  <c r="L362" i="9"/>
  <c r="L361" i="9"/>
  <c r="M361" i="9" s="1"/>
  <c r="L360" i="9"/>
  <c r="M360" i="9" s="1"/>
  <c r="L359" i="9"/>
  <c r="M359" i="9" s="1"/>
  <c r="L358" i="9"/>
  <c r="M358" i="9" s="1"/>
  <c r="L357" i="9"/>
  <c r="M357" i="9" s="1"/>
  <c r="L356" i="9"/>
  <c r="M356" i="9" s="1"/>
  <c r="L355" i="9"/>
  <c r="M355" i="9" s="1"/>
  <c r="L354" i="9"/>
  <c r="L353" i="9"/>
  <c r="M353" i="9" s="1"/>
  <c r="L352" i="9"/>
  <c r="M352" i="9" s="1"/>
  <c r="L351" i="9"/>
  <c r="L350" i="9"/>
  <c r="L349" i="9"/>
  <c r="M349" i="9" s="1"/>
  <c r="L348" i="9"/>
  <c r="M348" i="9" s="1"/>
  <c r="L347" i="9"/>
  <c r="M347" i="9" s="1"/>
  <c r="L346" i="9"/>
  <c r="M346" i="9" s="1"/>
  <c r="L345" i="9"/>
  <c r="M345" i="9" s="1"/>
  <c r="L344" i="9"/>
  <c r="M344" i="9" s="1"/>
  <c r="L343" i="9"/>
  <c r="M343" i="9" s="1"/>
  <c r="L342" i="9"/>
  <c r="M342" i="9" s="1"/>
  <c r="L341" i="9"/>
  <c r="M341" i="9" s="1"/>
  <c r="L340" i="9"/>
  <c r="M340" i="9" s="1"/>
  <c r="L339" i="9"/>
  <c r="L338" i="9"/>
  <c r="L337" i="9"/>
  <c r="M337" i="9" s="1"/>
  <c r="L336" i="9"/>
  <c r="M336" i="9" s="1"/>
  <c r="L335" i="9"/>
  <c r="M335" i="9" s="1"/>
  <c r="L334" i="9"/>
  <c r="M334" i="9" s="1"/>
  <c r="L333" i="9"/>
  <c r="M333" i="9" s="1"/>
  <c r="L332" i="9"/>
  <c r="M332" i="9" s="1"/>
  <c r="L331" i="9"/>
  <c r="M331" i="9" s="1"/>
  <c r="L330" i="9"/>
  <c r="M330" i="9" s="1"/>
  <c r="L329" i="9"/>
  <c r="M329" i="9" s="1"/>
  <c r="L328" i="9"/>
  <c r="M328" i="9" s="1"/>
  <c r="L327" i="9"/>
  <c r="M327" i="9" s="1"/>
  <c r="L326" i="9"/>
  <c r="L325" i="9"/>
  <c r="M325" i="9" s="1"/>
  <c r="L324" i="9"/>
  <c r="M324" i="9" s="1"/>
  <c r="L323" i="9"/>
  <c r="M323" i="9" s="1"/>
  <c r="L322" i="9"/>
  <c r="M322" i="9" s="1"/>
  <c r="L321" i="9"/>
  <c r="M321" i="9" s="1"/>
  <c r="L320" i="9"/>
  <c r="M320" i="9" s="1"/>
  <c r="L319" i="9"/>
  <c r="M319" i="9" s="1"/>
  <c r="L318" i="9"/>
  <c r="M318" i="9" s="1"/>
  <c r="L317" i="9"/>
  <c r="M317" i="9" s="1"/>
  <c r="L316" i="9"/>
  <c r="M316" i="9" s="1"/>
  <c r="L315" i="9"/>
  <c r="M315" i="9" s="1"/>
  <c r="L314" i="9"/>
  <c r="L313" i="9"/>
  <c r="M313" i="9" s="1"/>
  <c r="L312" i="9"/>
  <c r="M312" i="9" s="1"/>
  <c r="L311" i="9"/>
  <c r="M311" i="9" s="1"/>
  <c r="L310" i="9"/>
  <c r="M310" i="9" s="1"/>
  <c r="L309" i="9"/>
  <c r="M309" i="9" s="1"/>
  <c r="L308" i="9"/>
  <c r="M308" i="9" s="1"/>
  <c r="L307" i="9"/>
  <c r="M307" i="9" s="1"/>
  <c r="L306" i="9"/>
  <c r="L305" i="9"/>
  <c r="M305" i="9" s="1"/>
  <c r="L304" i="9"/>
  <c r="M304" i="9" s="1"/>
  <c r="L303" i="9"/>
  <c r="L302" i="9"/>
  <c r="L301" i="9"/>
  <c r="M301" i="9" s="1"/>
  <c r="L300" i="9"/>
  <c r="M300" i="9" s="1"/>
  <c r="L299" i="9"/>
  <c r="M299" i="9" s="1"/>
  <c r="L298" i="9"/>
  <c r="M298" i="9" s="1"/>
  <c r="L297" i="9"/>
  <c r="M297" i="9" s="1"/>
  <c r="L296" i="9"/>
  <c r="M296" i="9" s="1"/>
  <c r="L295" i="9"/>
  <c r="M295" i="9" s="1"/>
  <c r="L294" i="9"/>
  <c r="M294" i="9" s="1"/>
  <c r="L293" i="9"/>
  <c r="M293" i="9" s="1"/>
  <c r="L292" i="9"/>
  <c r="M292" i="9" s="1"/>
  <c r="L291" i="9"/>
  <c r="L290" i="9"/>
  <c r="L289" i="9"/>
  <c r="M289" i="9" s="1"/>
  <c r="L288" i="9"/>
  <c r="M288" i="9" s="1"/>
  <c r="L287" i="9"/>
  <c r="M287" i="9" s="1"/>
  <c r="L286" i="9"/>
  <c r="M286" i="9" s="1"/>
  <c r="L285" i="9"/>
  <c r="M285" i="9" s="1"/>
  <c r="L284" i="9"/>
  <c r="M284" i="9" s="1"/>
  <c r="L283" i="9"/>
  <c r="M283" i="9" s="1"/>
  <c r="L282" i="9"/>
  <c r="L281" i="9"/>
  <c r="M281" i="9" s="1"/>
  <c r="L280" i="9"/>
  <c r="M280" i="9" s="1"/>
  <c r="L279" i="9"/>
  <c r="L278" i="9"/>
  <c r="L277" i="9"/>
  <c r="M277" i="9" s="1"/>
  <c r="L276" i="9"/>
  <c r="M276" i="9" s="1"/>
  <c r="L275" i="9"/>
  <c r="M275" i="9" s="1"/>
  <c r="L274" i="9"/>
  <c r="M274" i="9" s="1"/>
  <c r="L273" i="9"/>
  <c r="M273" i="9" s="1"/>
  <c r="L272" i="9"/>
  <c r="M272" i="9" s="1"/>
  <c r="L271" i="9"/>
  <c r="M271" i="9" s="1"/>
  <c r="L270" i="9"/>
  <c r="M270" i="9" s="1"/>
  <c r="L269" i="9"/>
  <c r="M269" i="9" s="1"/>
  <c r="L268" i="9"/>
  <c r="M268" i="9" s="1"/>
  <c r="L267" i="9"/>
  <c r="M267" i="9" s="1"/>
  <c r="L266" i="9"/>
  <c r="L265" i="9"/>
  <c r="M265" i="9" s="1"/>
  <c r="L264" i="9"/>
  <c r="M264" i="9" s="1"/>
  <c r="L263" i="9"/>
  <c r="M263" i="9" s="1"/>
  <c r="L262" i="9"/>
  <c r="M262" i="9" s="1"/>
  <c r="L261" i="9"/>
  <c r="M261" i="9" s="1"/>
  <c r="L260" i="9"/>
  <c r="M260" i="9" s="1"/>
  <c r="L259" i="9"/>
  <c r="M259" i="9" s="1"/>
  <c r="L258" i="9"/>
  <c r="L257" i="9"/>
  <c r="M257" i="9" s="1"/>
  <c r="L256" i="9"/>
  <c r="M256" i="9" s="1"/>
  <c r="L255" i="9"/>
  <c r="M255" i="9" s="1"/>
  <c r="L254" i="9"/>
  <c r="L253" i="9"/>
  <c r="M253" i="9" s="1"/>
  <c r="L252" i="9"/>
  <c r="M252" i="9" s="1"/>
  <c r="L251" i="9"/>
  <c r="M251" i="9" s="1"/>
  <c r="L250" i="9"/>
  <c r="M250" i="9" s="1"/>
  <c r="L249" i="9"/>
  <c r="M249" i="9" s="1"/>
  <c r="L248" i="9"/>
  <c r="M248" i="9" s="1"/>
  <c r="L247" i="9"/>
  <c r="M247" i="9" s="1"/>
  <c r="L246" i="9"/>
  <c r="M246" i="9" s="1"/>
  <c r="L245" i="9"/>
  <c r="M245" i="9" s="1"/>
  <c r="L244" i="9"/>
  <c r="M244" i="9" s="1"/>
  <c r="L243" i="9"/>
  <c r="L242" i="9"/>
  <c r="L241" i="9"/>
  <c r="M241" i="9" s="1"/>
  <c r="L240" i="9"/>
  <c r="M240" i="9" s="1"/>
  <c r="L239" i="9"/>
  <c r="M239" i="9" s="1"/>
  <c r="L238" i="9"/>
  <c r="M238" i="9" s="1"/>
  <c r="L237" i="9"/>
  <c r="M237" i="9" s="1"/>
  <c r="L236" i="9"/>
  <c r="M236" i="9" s="1"/>
  <c r="L235" i="9"/>
  <c r="M235" i="9" s="1"/>
  <c r="L234" i="9"/>
  <c r="M234" i="9" s="1"/>
  <c r="L233" i="9"/>
  <c r="M233" i="9" s="1"/>
  <c r="L232" i="9"/>
  <c r="M232" i="9" s="1"/>
  <c r="L231" i="9"/>
  <c r="L230" i="9"/>
  <c r="L229" i="9"/>
  <c r="M229" i="9" s="1"/>
  <c r="L228" i="9"/>
  <c r="M228" i="9" s="1"/>
  <c r="L227" i="9"/>
  <c r="M227" i="9" s="1"/>
  <c r="L226" i="9"/>
  <c r="M226" i="9" s="1"/>
  <c r="L225" i="9"/>
  <c r="M225" i="9" s="1"/>
  <c r="L224" i="9"/>
  <c r="M224" i="9" s="1"/>
  <c r="L223" i="9"/>
  <c r="M223" i="9" s="1"/>
  <c r="L222" i="9"/>
  <c r="M222" i="9" s="1"/>
  <c r="L221" i="9"/>
  <c r="M221" i="9" s="1"/>
  <c r="L220" i="9"/>
  <c r="M220" i="9" s="1"/>
  <c r="L219" i="9"/>
  <c r="L218" i="9"/>
  <c r="L217" i="9"/>
  <c r="M217" i="9" s="1"/>
  <c r="L216" i="9"/>
  <c r="M216" i="9" s="1"/>
  <c r="L215" i="9"/>
  <c r="M215" i="9" s="1"/>
  <c r="L214" i="9"/>
  <c r="M214" i="9" s="1"/>
  <c r="L213" i="9"/>
  <c r="M213" i="9" s="1"/>
  <c r="L212" i="9"/>
  <c r="M212" i="9" s="1"/>
  <c r="L211" i="9"/>
  <c r="M211" i="9" s="1"/>
  <c r="L210" i="9"/>
  <c r="M210" i="9" s="1"/>
  <c r="L209" i="9"/>
  <c r="M209" i="9" s="1"/>
  <c r="L208" i="9"/>
  <c r="M208" i="9" s="1"/>
  <c r="L207" i="9"/>
  <c r="L206" i="9"/>
  <c r="L205" i="9"/>
  <c r="M205" i="9" s="1"/>
  <c r="L204" i="9"/>
  <c r="M204" i="9" s="1"/>
  <c r="L203" i="9"/>
  <c r="M203" i="9" s="1"/>
  <c r="L202" i="9"/>
  <c r="M202" i="9" s="1"/>
  <c r="L201" i="9"/>
  <c r="M201" i="9" s="1"/>
  <c r="L200" i="9"/>
  <c r="M200" i="9" s="1"/>
  <c r="L199" i="9"/>
  <c r="M199" i="9" s="1"/>
  <c r="L198" i="9"/>
  <c r="M198" i="9" s="1"/>
  <c r="L197" i="9"/>
  <c r="M197" i="9" s="1"/>
  <c r="L196" i="9"/>
  <c r="M196" i="9" s="1"/>
  <c r="L195" i="9"/>
  <c r="L194" i="9"/>
  <c r="L193" i="9"/>
  <c r="M193" i="9" s="1"/>
  <c r="L192" i="9"/>
  <c r="M192" i="9" s="1"/>
  <c r="L191" i="9"/>
  <c r="M191" i="9" s="1"/>
  <c r="L190" i="9"/>
  <c r="M190" i="9" s="1"/>
  <c r="L189" i="9"/>
  <c r="M189" i="9" s="1"/>
  <c r="L188" i="9"/>
  <c r="M188" i="9" s="1"/>
  <c r="L187" i="9"/>
  <c r="M187" i="9" s="1"/>
  <c r="L186" i="9"/>
  <c r="L185" i="9"/>
  <c r="M185" i="9" s="1"/>
  <c r="L184" i="9"/>
  <c r="M184" i="9" s="1"/>
  <c r="L183" i="9"/>
  <c r="L182" i="9"/>
  <c r="L181" i="9"/>
  <c r="M181" i="9" s="1"/>
  <c r="L180" i="9"/>
  <c r="M180" i="9" s="1"/>
  <c r="L179" i="9"/>
  <c r="M179" i="9" s="1"/>
  <c r="L178" i="9"/>
  <c r="M178" i="9" s="1"/>
  <c r="L177" i="9"/>
  <c r="M177" i="9" s="1"/>
  <c r="L176" i="9"/>
  <c r="M176" i="9" s="1"/>
  <c r="L175" i="9"/>
  <c r="M175" i="9" s="1"/>
  <c r="L174" i="9"/>
  <c r="M174" i="9" s="1"/>
  <c r="L173" i="9"/>
  <c r="M173" i="9" s="1"/>
  <c r="L172" i="9"/>
  <c r="M172" i="9" s="1"/>
  <c r="L171" i="9"/>
  <c r="M171" i="9" s="1"/>
  <c r="L170" i="9"/>
  <c r="L169" i="9"/>
  <c r="M169" i="9" s="1"/>
  <c r="L168" i="9"/>
  <c r="M168" i="9" s="1"/>
  <c r="L167" i="9"/>
  <c r="M167" i="9" s="1"/>
  <c r="L166" i="9"/>
  <c r="M166" i="9" s="1"/>
  <c r="L165" i="9"/>
  <c r="M165" i="9" s="1"/>
  <c r="L164" i="9"/>
  <c r="M164" i="9" s="1"/>
  <c r="L163" i="9"/>
  <c r="M163" i="9" s="1"/>
  <c r="L162" i="9"/>
  <c r="M162" i="9" s="1"/>
  <c r="L161" i="9"/>
  <c r="M161" i="9" s="1"/>
  <c r="L160" i="9"/>
  <c r="M160" i="9" s="1"/>
  <c r="L159" i="9"/>
  <c r="L158" i="9"/>
  <c r="L157" i="9"/>
  <c r="M157" i="9" s="1"/>
  <c r="L156" i="9"/>
  <c r="M156" i="9" s="1"/>
  <c r="L155" i="9"/>
  <c r="M155" i="9" s="1"/>
  <c r="L154" i="9"/>
  <c r="M154" i="9" s="1"/>
  <c r="L153" i="9"/>
  <c r="M153" i="9" s="1"/>
  <c r="L152" i="9"/>
  <c r="M152" i="9" s="1"/>
  <c r="L151" i="9"/>
  <c r="M151" i="9" s="1"/>
  <c r="L150" i="9"/>
  <c r="M150" i="9" s="1"/>
  <c r="L149" i="9"/>
  <c r="M149" i="9" s="1"/>
  <c r="L148" i="9"/>
  <c r="M148" i="9" s="1"/>
  <c r="L147" i="9"/>
  <c r="M147" i="9" s="1"/>
  <c r="L146" i="9"/>
  <c r="L145" i="9"/>
  <c r="M145" i="9" s="1"/>
  <c r="L144" i="9"/>
  <c r="M144" i="9" s="1"/>
  <c r="L143" i="9"/>
  <c r="M143" i="9" s="1"/>
  <c r="L142" i="9"/>
  <c r="M142" i="9" s="1"/>
  <c r="L141" i="9"/>
  <c r="M141" i="9" s="1"/>
  <c r="L140" i="9"/>
  <c r="M140" i="9" s="1"/>
  <c r="L139" i="9"/>
  <c r="M139" i="9" s="1"/>
  <c r="L138" i="9"/>
  <c r="L137" i="9"/>
  <c r="M137" i="9" s="1"/>
  <c r="L136" i="9"/>
  <c r="M136" i="9" s="1"/>
  <c r="L135" i="9"/>
  <c r="L134" i="9"/>
  <c r="L133" i="9"/>
  <c r="M133" i="9" s="1"/>
  <c r="L132" i="9"/>
  <c r="M132" i="9" s="1"/>
  <c r="L131" i="9"/>
  <c r="M131" i="9" s="1"/>
  <c r="L130" i="9"/>
  <c r="M130" i="9" s="1"/>
  <c r="L129" i="9"/>
  <c r="M129" i="9" s="1"/>
  <c r="L128" i="9"/>
  <c r="M128" i="9" s="1"/>
  <c r="L127" i="9"/>
  <c r="M127" i="9" s="1"/>
  <c r="L126" i="9"/>
  <c r="M126" i="9" s="1"/>
  <c r="L125" i="9"/>
  <c r="M125" i="9" s="1"/>
  <c r="L124" i="9"/>
  <c r="M124" i="9" s="1"/>
  <c r="L123" i="9"/>
  <c r="M123" i="9" s="1"/>
  <c r="L122" i="9"/>
  <c r="L121" i="9"/>
  <c r="M121" i="9" s="1"/>
  <c r="L120" i="9"/>
  <c r="M120" i="9" s="1"/>
  <c r="L119" i="9"/>
  <c r="M119" i="9" s="1"/>
  <c r="L118" i="9"/>
  <c r="M118" i="9" s="1"/>
  <c r="L117" i="9"/>
  <c r="M117" i="9" s="1"/>
  <c r="L116" i="9"/>
  <c r="M116" i="9" s="1"/>
  <c r="L115" i="9"/>
  <c r="M115" i="9" s="1"/>
  <c r="L114" i="9"/>
  <c r="L113" i="9"/>
  <c r="M113" i="9" s="1"/>
  <c r="L112" i="9"/>
  <c r="M112" i="9" s="1"/>
  <c r="L111" i="9"/>
  <c r="L110" i="9"/>
  <c r="L109" i="9"/>
  <c r="M109" i="9" s="1"/>
  <c r="L108" i="9"/>
  <c r="M108" i="9" s="1"/>
  <c r="L107" i="9"/>
  <c r="M107" i="9" s="1"/>
  <c r="L106" i="9"/>
  <c r="M106" i="9" s="1"/>
  <c r="L105" i="9"/>
  <c r="M105" i="9" s="1"/>
  <c r="L104" i="9"/>
  <c r="M104" i="9" s="1"/>
  <c r="L103" i="9"/>
  <c r="M103" i="9" s="1"/>
  <c r="L102" i="9"/>
  <c r="M102" i="9" s="1"/>
  <c r="L101" i="9"/>
  <c r="M101" i="9" s="1"/>
  <c r="L100" i="9"/>
  <c r="M100" i="9" s="1"/>
  <c r="L99" i="9"/>
  <c r="L98" i="9"/>
  <c r="L97" i="9"/>
  <c r="M97" i="9" s="1"/>
  <c r="L96" i="9"/>
  <c r="M96" i="9" s="1"/>
  <c r="L95" i="9"/>
  <c r="M95" i="9" s="1"/>
  <c r="L94" i="9"/>
  <c r="M94" i="9" s="1"/>
  <c r="L93" i="9"/>
  <c r="M93" i="9" s="1"/>
  <c r="L92" i="9"/>
  <c r="M92" i="9" s="1"/>
  <c r="L91" i="9"/>
  <c r="M91" i="9" s="1"/>
  <c r="L90" i="9"/>
  <c r="M90" i="9" s="1"/>
  <c r="L89" i="9"/>
  <c r="M89" i="9" s="1"/>
  <c r="L88" i="9"/>
  <c r="M88" i="9" s="1"/>
  <c r="L87" i="9"/>
  <c r="L86" i="9"/>
  <c r="L85" i="9"/>
  <c r="M85" i="9" s="1"/>
  <c r="L84" i="9"/>
  <c r="M84" i="9" s="1"/>
  <c r="L83" i="9"/>
  <c r="M83" i="9" s="1"/>
  <c r="L82" i="9"/>
  <c r="M82" i="9" s="1"/>
  <c r="L81" i="9"/>
  <c r="M81" i="9" s="1"/>
  <c r="L80" i="9"/>
  <c r="M80" i="9" s="1"/>
  <c r="L79" i="9"/>
  <c r="M79" i="9" s="1"/>
  <c r="L78" i="9"/>
  <c r="M78" i="9" s="1"/>
  <c r="L77" i="9"/>
  <c r="M77" i="9" s="1"/>
  <c r="L76" i="9"/>
  <c r="M76" i="9" s="1"/>
  <c r="L75" i="9"/>
  <c r="L74" i="9"/>
  <c r="L73" i="9"/>
  <c r="M73" i="9" s="1"/>
  <c r="L72" i="9"/>
  <c r="M72" i="9" s="1"/>
  <c r="L71" i="9"/>
  <c r="M71" i="9" s="1"/>
  <c r="L70" i="9"/>
  <c r="M70" i="9" s="1"/>
  <c r="L69" i="9"/>
  <c r="M69" i="9" s="1"/>
  <c r="L68" i="9"/>
  <c r="M68" i="9" s="1"/>
  <c r="L67" i="9"/>
  <c r="M67" i="9" s="1"/>
  <c r="L66" i="9"/>
  <c r="L65" i="9"/>
  <c r="M65" i="9" s="1"/>
  <c r="L64" i="9"/>
  <c r="M64" i="9" s="1"/>
  <c r="L63" i="9"/>
  <c r="M63" i="9" s="1"/>
  <c r="L62" i="9"/>
  <c r="L61" i="9"/>
  <c r="M61" i="9" s="1"/>
  <c r="L60" i="9"/>
  <c r="M60" i="9" s="1"/>
  <c r="L59" i="9"/>
  <c r="M59" i="9" s="1"/>
  <c r="L58" i="9"/>
  <c r="M58" i="9" s="1"/>
  <c r="L57" i="9"/>
  <c r="M57" i="9" s="1"/>
  <c r="L56" i="9"/>
  <c r="M56" i="9" s="1"/>
  <c r="L55" i="9"/>
  <c r="M55" i="9" s="1"/>
  <c r="L54" i="9"/>
  <c r="M54" i="9" s="1"/>
  <c r="L53" i="9"/>
  <c r="M53" i="9" s="1"/>
  <c r="L52" i="9"/>
  <c r="M52" i="9" s="1"/>
  <c r="L51" i="9"/>
  <c r="L50" i="9"/>
  <c r="L49" i="9"/>
  <c r="M49" i="9" s="1"/>
  <c r="L48" i="9"/>
  <c r="M48" i="9" s="1"/>
  <c r="L47" i="9"/>
  <c r="M47" i="9" s="1"/>
  <c r="L46" i="9"/>
  <c r="M46" i="9" s="1"/>
  <c r="L45" i="9"/>
  <c r="M45" i="9" s="1"/>
  <c r="L44" i="9"/>
  <c r="M44" i="9" s="1"/>
  <c r="L43" i="9"/>
  <c r="M43" i="9" s="1"/>
  <c r="L42" i="9"/>
  <c r="M42" i="9" s="1"/>
  <c r="L41" i="9"/>
  <c r="M41" i="9" s="1"/>
  <c r="L40" i="9"/>
  <c r="M40" i="9" s="1"/>
  <c r="L39" i="9"/>
  <c r="M39" i="9" s="1"/>
  <c r="L38" i="9"/>
  <c r="L37" i="9"/>
  <c r="M37" i="9" s="1"/>
  <c r="L36" i="9"/>
  <c r="M36" i="9" s="1"/>
  <c r="L35" i="9"/>
  <c r="M35" i="9" s="1"/>
  <c r="L34" i="9"/>
  <c r="M34" i="9" s="1"/>
  <c r="L33" i="9"/>
  <c r="M33" i="9" s="1"/>
  <c r="L32" i="9"/>
  <c r="M32" i="9" s="1"/>
  <c r="L31" i="9"/>
  <c r="M31" i="9" s="1"/>
  <c r="L30" i="9"/>
  <c r="M30" i="9" s="1"/>
  <c r="L29" i="9"/>
  <c r="M29" i="9" s="1"/>
  <c r="L28" i="9"/>
  <c r="M28" i="9" s="1"/>
  <c r="L27" i="9"/>
  <c r="M27" i="9" s="1"/>
  <c r="L26" i="9"/>
  <c r="L25" i="9"/>
  <c r="M25" i="9" s="1"/>
  <c r="L24" i="9"/>
  <c r="M24" i="9" s="1"/>
  <c r="L23" i="9"/>
  <c r="M23" i="9" s="1"/>
  <c r="L22" i="9"/>
  <c r="M22" i="9" s="1"/>
  <c r="L21" i="9"/>
  <c r="M21" i="9" s="1"/>
  <c r="L20" i="9"/>
  <c r="M20" i="9" s="1"/>
  <c r="L19" i="9"/>
  <c r="M19" i="9" s="1"/>
  <c r="L18" i="9"/>
  <c r="L17" i="9"/>
  <c r="M17" i="9" s="1"/>
  <c r="L16" i="9"/>
  <c r="M16" i="9" s="1"/>
  <c r="L15" i="9"/>
  <c r="L14" i="9"/>
  <c r="L13" i="9"/>
  <c r="M13" i="9" s="1"/>
  <c r="L12" i="9"/>
  <c r="M12" i="9" s="1"/>
  <c r="L11" i="9"/>
  <c r="M11" i="9" s="1"/>
  <c r="L10" i="9"/>
  <c r="M10" i="9" s="1"/>
  <c r="L9" i="9"/>
  <c r="M9" i="9" s="1"/>
  <c r="L8" i="9"/>
  <c r="M8" i="9" s="1"/>
  <c r="L7" i="9"/>
  <c r="M7" i="9" s="1"/>
  <c r="L6" i="9"/>
  <c r="M6" i="9" s="1"/>
  <c r="L5" i="9"/>
  <c r="M5" i="9" s="1"/>
  <c r="L4" i="9"/>
  <c r="M4" i="9" s="1"/>
  <c r="L3" i="9"/>
  <c r="L2" i="9"/>
  <c r="M699" i="9"/>
  <c r="M698" i="9"/>
  <c r="M695" i="9"/>
  <c r="M694" i="9"/>
  <c r="M693" i="9"/>
  <c r="M690" i="9"/>
  <c r="M687" i="9"/>
  <c r="M675" i="9"/>
  <c r="M674" i="9"/>
  <c r="M666" i="9"/>
  <c r="M663" i="9"/>
  <c r="M662" i="9"/>
  <c r="M661" i="9"/>
  <c r="M651" i="9"/>
  <c r="M650" i="9"/>
  <c r="M642" i="9"/>
  <c r="M639" i="9"/>
  <c r="M627" i="9"/>
  <c r="M626" i="9"/>
  <c r="M618" i="9"/>
  <c r="M615" i="9"/>
  <c r="M614" i="9"/>
  <c r="M602" i="9"/>
  <c r="M594" i="9"/>
  <c r="M591" i="9"/>
  <c r="M590" i="9"/>
  <c r="M582" i="9"/>
  <c r="M579" i="9"/>
  <c r="M578" i="9"/>
  <c r="M570" i="9"/>
  <c r="M567" i="9"/>
  <c r="M566" i="9"/>
  <c r="M558" i="9"/>
  <c r="M554" i="9"/>
  <c r="M546" i="9"/>
  <c r="M542" i="9"/>
  <c r="M534" i="9"/>
  <c r="M531" i="9"/>
  <c r="M529" i="9"/>
  <c r="M522" i="9"/>
  <c r="M519" i="9"/>
  <c r="M518" i="9"/>
  <c r="M507" i="9"/>
  <c r="M506" i="9"/>
  <c r="M498" i="9"/>
  <c r="M495" i="9"/>
  <c r="M494" i="9"/>
  <c r="M483" i="9"/>
  <c r="M482" i="9"/>
  <c r="M474" i="9"/>
  <c r="M471" i="9"/>
  <c r="M470" i="9"/>
  <c r="M459" i="9"/>
  <c r="M458" i="9"/>
  <c r="M450" i="9"/>
  <c r="M446" i="9"/>
  <c r="M435" i="9"/>
  <c r="M434" i="9"/>
  <c r="M426" i="9"/>
  <c r="M423" i="9"/>
  <c r="M422" i="9"/>
  <c r="M411" i="9"/>
  <c r="M410" i="9"/>
  <c r="M402" i="9"/>
  <c r="M399" i="9"/>
  <c r="M398" i="9"/>
  <c r="M386" i="9"/>
  <c r="M378" i="9"/>
  <c r="M375" i="9"/>
  <c r="M374" i="9"/>
  <c r="M362" i="9"/>
  <c r="M354" i="9"/>
  <c r="M351" i="9"/>
  <c r="M350" i="9"/>
  <c r="M339" i="9"/>
  <c r="M338" i="9"/>
  <c r="M326" i="9"/>
  <c r="M314" i="9"/>
  <c r="M306" i="9"/>
  <c r="M303" i="9"/>
  <c r="M302" i="9"/>
  <c r="M291" i="9"/>
  <c r="M290" i="9"/>
  <c r="M282" i="9"/>
  <c r="M279" i="9"/>
  <c r="M278" i="9"/>
  <c r="M266" i="9"/>
  <c r="M258" i="9"/>
  <c r="M254" i="9"/>
  <c r="M243" i="9"/>
  <c r="M242" i="9"/>
  <c r="M231" i="9"/>
  <c r="M230" i="9"/>
  <c r="M219" i="9"/>
  <c r="M218" i="9"/>
  <c r="M207" i="9"/>
  <c r="M206" i="9"/>
  <c r="M195" i="9"/>
  <c r="M194" i="9"/>
  <c r="M186" i="9"/>
  <c r="M183" i="9"/>
  <c r="M182" i="9"/>
  <c r="M170" i="9"/>
  <c r="M159" i="9"/>
  <c r="M158" i="9"/>
  <c r="M146" i="9"/>
  <c r="M138" i="9"/>
  <c r="M135" i="9"/>
  <c r="M134" i="9"/>
  <c r="M122" i="9"/>
  <c r="M114" i="9"/>
  <c r="M111" i="9"/>
  <c r="M110" i="9"/>
  <c r="M99" i="9"/>
  <c r="M98" i="9"/>
  <c r="M87" i="9"/>
  <c r="M86" i="9"/>
  <c r="M75" i="9"/>
  <c r="M74" i="9"/>
  <c r="M66" i="9"/>
  <c r="M62" i="9"/>
  <c r="M51" i="9"/>
  <c r="M50" i="9"/>
  <c r="M38" i="9"/>
  <c r="M26" i="9"/>
  <c r="M18" i="9"/>
  <c r="M15" i="9"/>
  <c r="M14" i="9"/>
  <c r="M3" i="9"/>
  <c r="M2" i="9"/>
  <c r="D13" i="8" l="1"/>
  <c r="D5" i="8"/>
  <c r="D13" i="6"/>
  <c r="D12" i="6"/>
  <c r="D11" i="6"/>
  <c r="D10" i="6"/>
  <c r="D9" i="6"/>
  <c r="D8" i="6"/>
  <c r="D7" i="6"/>
  <c r="D6" i="6"/>
  <c r="D5" i="6"/>
  <c r="D4" i="6"/>
  <c r="D3" i="6"/>
  <c r="D2" i="6"/>
  <c r="D12" i="8"/>
  <c r="D11" i="8"/>
  <c r="D10" i="8"/>
  <c r="D9" i="8"/>
  <c r="D8" i="8"/>
  <c r="D7" i="8"/>
  <c r="D6" i="8"/>
  <c r="D4" i="8"/>
  <c r="D3" i="8"/>
  <c r="D2" i="8"/>
  <c r="G4" i="5" l="1"/>
  <c r="F4" i="5"/>
  <c r="E4" i="5"/>
  <c r="D4" i="5"/>
  <c r="C4" i="5"/>
  <c r="B4" i="5"/>
  <c r="H3" i="5"/>
  <c r="I3" i="5" s="1"/>
  <c r="H2" i="5"/>
  <c r="I2" i="5" s="1"/>
  <c r="H4" i="5" l="1"/>
  <c r="I4" i="5" s="1"/>
</calcChain>
</file>

<file path=xl/sharedStrings.xml><?xml version="1.0" encoding="utf-8"?>
<sst xmlns="http://schemas.openxmlformats.org/spreadsheetml/2006/main" count="4804" uniqueCount="850">
  <si>
    <t>Jan</t>
  </si>
  <si>
    <t>Feb</t>
  </si>
  <si>
    <t>Mar</t>
  </si>
  <si>
    <t>Apr</t>
  </si>
  <si>
    <t>May</t>
  </si>
  <si>
    <t>Jun</t>
  </si>
  <si>
    <t>Sales</t>
  </si>
  <si>
    <t>Overhead</t>
  </si>
  <si>
    <t>Profits</t>
  </si>
  <si>
    <t>Total</t>
  </si>
  <si>
    <t>Average</t>
  </si>
  <si>
    <t>YTD Profits</t>
  </si>
  <si>
    <t>Employee Name</t>
  </si>
  <si>
    <t>Department</t>
  </si>
  <si>
    <t>Hire Date</t>
  </si>
  <si>
    <t>Years</t>
  </si>
  <si>
    <t>Salary</t>
  </si>
  <si>
    <t>New Salary</t>
  </si>
  <si>
    <t>Page, Lisa</t>
  </si>
  <si>
    <t>ADC</t>
  </si>
  <si>
    <t>Dawson, Jonathan</t>
  </si>
  <si>
    <t>Pratt, Erik</t>
  </si>
  <si>
    <t>Training</t>
  </si>
  <si>
    <t>Wiggins, Frank</t>
  </si>
  <si>
    <t>Tanner, Timothy</t>
  </si>
  <si>
    <t>Chase, Troy</t>
  </si>
  <si>
    <t>White, Daniel</t>
  </si>
  <si>
    <t>Holland, Donald</t>
  </si>
  <si>
    <t>Marketing</t>
  </si>
  <si>
    <t>Administration</t>
  </si>
  <si>
    <t>Mon</t>
  </si>
  <si>
    <t>Tue</t>
  </si>
  <si>
    <t>Wed</t>
  </si>
  <si>
    <t>Thu</t>
  </si>
  <si>
    <t>Fri</t>
  </si>
  <si>
    <t>Revenue</t>
  </si>
  <si>
    <t>1st Quarter</t>
  </si>
  <si>
    <t>2nd Quarter</t>
  </si>
  <si>
    <t>3rd Quarter</t>
  </si>
  <si>
    <t>4th Quarter</t>
  </si>
  <si>
    <t>Domestic</t>
  </si>
  <si>
    <t>Europe</t>
  </si>
  <si>
    <t>Asia</t>
  </si>
  <si>
    <t>Latin America</t>
  </si>
  <si>
    <t>Median</t>
  </si>
  <si>
    <t>2nd Largest</t>
  </si>
  <si>
    <t>STD</t>
  </si>
  <si>
    <t>Pct Increase</t>
  </si>
  <si>
    <t xml:space="preserve"> ( )</t>
  </si>
  <si>
    <t xml:space="preserve"> ^</t>
  </si>
  <si>
    <t xml:space="preserve"> * /</t>
  </si>
  <si>
    <t xml:space="preserve"> + -</t>
  </si>
  <si>
    <t>Count number cells</t>
  </si>
  <si>
    <t>Garcia, Joe</t>
  </si>
  <si>
    <t>Chan, Eric</t>
  </si>
  <si>
    <t>Martinez, Mary</t>
  </si>
  <si>
    <t>Perez, Maria</t>
  </si>
  <si>
    <t>Pratt, Jennifer</t>
  </si>
  <si>
    <t>Chase, Leah</t>
  </si>
  <si>
    <t>Salaries</t>
  </si>
  <si>
    <t>Count cells with data</t>
  </si>
  <si>
    <t>Rank values in a list</t>
  </si>
  <si>
    <t>ID#</t>
  </si>
  <si>
    <t>Comp.</t>
  </si>
  <si>
    <t>Phone</t>
  </si>
  <si>
    <t>Benefits</t>
  </si>
  <si>
    <t>Status</t>
  </si>
  <si>
    <t>Building</t>
  </si>
  <si>
    <t>Anderson, Terry</t>
  </si>
  <si>
    <t>D</t>
  </si>
  <si>
    <t>Full Time</t>
  </si>
  <si>
    <t>Abbott, James</t>
  </si>
  <si>
    <t>North</t>
  </si>
  <si>
    <t>Logistics</t>
  </si>
  <si>
    <t>Bailey, Victor</t>
  </si>
  <si>
    <t>M</t>
  </si>
  <si>
    <t>Half-Time</t>
  </si>
  <si>
    <t>Acosta, Robert</t>
  </si>
  <si>
    <t>West</t>
  </si>
  <si>
    <t>Quality Control</t>
  </si>
  <si>
    <t>Bishop, Juan</t>
  </si>
  <si>
    <t>DM</t>
  </si>
  <si>
    <t>Adams, David</t>
  </si>
  <si>
    <t>Watson</t>
  </si>
  <si>
    <t>Operations</t>
  </si>
  <si>
    <t>Carr, Susan</t>
  </si>
  <si>
    <t>Contract</t>
  </si>
  <si>
    <t>Adkins, Michael</t>
  </si>
  <si>
    <t>Main</t>
  </si>
  <si>
    <t>Manufacturing</t>
  </si>
  <si>
    <t>Hardy, Svetlana</t>
  </si>
  <si>
    <t>R</t>
  </si>
  <si>
    <t>Aguilar, Kevin</t>
  </si>
  <si>
    <t>Project &amp; Contract Services</t>
  </si>
  <si>
    <t>Day, David</t>
  </si>
  <si>
    <t>Admin Training</t>
  </si>
  <si>
    <t>Alexander, Charles</t>
  </si>
  <si>
    <t>Diaz, David</t>
  </si>
  <si>
    <t>DMR</t>
  </si>
  <si>
    <t>Allen, Thomas</t>
  </si>
  <si>
    <t>Taft</t>
  </si>
  <si>
    <t>Frost, Adam</t>
  </si>
  <si>
    <t>Allison, Timothy</t>
  </si>
  <si>
    <t>Process Development</t>
  </si>
  <si>
    <t>Hood, Renee</t>
  </si>
  <si>
    <t>Alvarado, Sonia</t>
  </si>
  <si>
    <t>Engineering/Maintenance</t>
  </si>
  <si>
    <t>Hoover, Evie</t>
  </si>
  <si>
    <t>Hourly</t>
  </si>
  <si>
    <t>Alvarez, Steven</t>
  </si>
  <si>
    <t>Malone, Daniel</t>
  </si>
  <si>
    <t>Anderson, Teason</t>
  </si>
  <si>
    <t>McGee, Carol</t>
  </si>
  <si>
    <t>Andrews, Diane</t>
  </si>
  <si>
    <t>Moss, Chan</t>
  </si>
  <si>
    <t>Anthony, Robert</t>
  </si>
  <si>
    <t>Noble, Michael</t>
  </si>
  <si>
    <t>Armstrong, David</t>
  </si>
  <si>
    <t>Randall, Yvonne</t>
  </si>
  <si>
    <t>Arnold, Cole</t>
  </si>
  <si>
    <t>Rodriguez, Scott</t>
  </si>
  <si>
    <t>Ashley, Michael</t>
  </si>
  <si>
    <t>Roy, Margarita</t>
  </si>
  <si>
    <t>Atkins, Kevin</t>
  </si>
  <si>
    <t>Stevens, Andrew</t>
  </si>
  <si>
    <t>Austin, William</t>
  </si>
  <si>
    <t>Sullivan, Robert</t>
  </si>
  <si>
    <t>Avila, Jody</t>
  </si>
  <si>
    <t>Pharmacokinetics</t>
  </si>
  <si>
    <t>Vega, Alexandra</t>
  </si>
  <si>
    <t>Ayala, Polly</t>
  </si>
  <si>
    <t>Engineering/Operations</t>
  </si>
  <si>
    <t>Wilkers, Claudia</t>
  </si>
  <si>
    <t>Ayers, Douglas</t>
  </si>
  <si>
    <t>Wolf, Debbie</t>
  </si>
  <si>
    <t>Baxter, Teresa</t>
  </si>
  <si>
    <t>Audit Services</t>
  </si>
  <si>
    <t>Baker, Barney</t>
  </si>
  <si>
    <t>Combs, Rick</t>
  </si>
  <si>
    <t>Baldwin, Ray</t>
  </si>
  <si>
    <t>Kerr, Mihaela</t>
  </si>
  <si>
    <t>Ball, Kirk</t>
  </si>
  <si>
    <t>O'Connor, Kent</t>
  </si>
  <si>
    <t>Ballard, Martin</t>
  </si>
  <si>
    <t>Petersen, Tim</t>
  </si>
  <si>
    <t>Banks, Ryan</t>
  </si>
  <si>
    <t>Peptide Chemistry</t>
  </si>
  <si>
    <t>Swayze, Barbara</t>
  </si>
  <si>
    <t>Barber, Robbie</t>
  </si>
  <si>
    <t>Tate, Zachary</t>
  </si>
  <si>
    <t>Barker, Heidi</t>
  </si>
  <si>
    <t>Taylor, Hector</t>
  </si>
  <si>
    <t>Barnes, Grant</t>
  </si>
  <si>
    <t>South</t>
  </si>
  <si>
    <t>Webster, David</t>
  </si>
  <si>
    <t>Barnett, Brenda</t>
  </si>
  <si>
    <t>Zimmerman, Juli</t>
  </si>
  <si>
    <t>Barr, Jennifer</t>
  </si>
  <si>
    <t>Executive Education</t>
  </si>
  <si>
    <t>Compliance</t>
  </si>
  <si>
    <t>Barrett, John</t>
  </si>
  <si>
    <t>Chang, Gabriel</t>
  </si>
  <si>
    <t>Barron, Michael</t>
  </si>
  <si>
    <t>Park, Timothy</t>
  </si>
  <si>
    <t>Bartlett, Julia</t>
  </si>
  <si>
    <t>Serrano, Al</t>
  </si>
  <si>
    <t>Barton, Barry</t>
  </si>
  <si>
    <t>Bass, Justin</t>
  </si>
  <si>
    <t>Bates, Verna</t>
  </si>
  <si>
    <t>Bennett, Chris</t>
  </si>
  <si>
    <t>Bauer, Chris</t>
  </si>
  <si>
    <t>Berry, Jacklyn</t>
  </si>
  <si>
    <t>Quality Assurance</t>
  </si>
  <si>
    <t>Blackburn, Kathy</t>
  </si>
  <si>
    <t>Bean, Deborah</t>
  </si>
  <si>
    <t>Manufacturing Admin</t>
  </si>
  <si>
    <t>Booker, Judith</t>
  </si>
  <si>
    <t>Beard, Sandi</t>
  </si>
  <si>
    <t>Boyd, Debra</t>
  </si>
  <si>
    <t>Beasley, Timothy</t>
  </si>
  <si>
    <t>Branch, Brady</t>
  </si>
  <si>
    <t>Beck, Craig</t>
  </si>
  <si>
    <t>Castro, Christopher</t>
  </si>
  <si>
    <t>Becker, Gretchen</t>
  </si>
  <si>
    <t>Clarke, Dennis</t>
  </si>
  <si>
    <t>Bell, David</t>
  </si>
  <si>
    <t>Contreras, Dean</t>
  </si>
  <si>
    <t>Cooper, Lisa</t>
  </si>
  <si>
    <t>Benson, Troy</t>
  </si>
  <si>
    <t>Environmental Health/Safety</t>
  </si>
  <si>
    <t>Copeland, Roger</t>
  </si>
  <si>
    <t>Craig, Alan</t>
  </si>
  <si>
    <t>Best, Lara</t>
  </si>
  <si>
    <t>Daniel, Robert</t>
  </si>
  <si>
    <t>Dyer, Carrie</t>
  </si>
  <si>
    <t>Black, Cliff</t>
  </si>
  <si>
    <t>Ellison, Melyssa</t>
  </si>
  <si>
    <t>Blackburn, Kathryn</t>
  </si>
  <si>
    <t>Fischer, David</t>
  </si>
  <si>
    <t>Blackwell, Brandon</t>
  </si>
  <si>
    <t>Fleming, Irv</t>
  </si>
  <si>
    <t>Blair, Sperry</t>
  </si>
  <si>
    <t>Foster, Blane</t>
  </si>
  <si>
    <t>Blake, Thomas</t>
  </si>
  <si>
    <t>Professional Training Group</t>
  </si>
  <si>
    <t>Francis, Todd</t>
  </si>
  <si>
    <t>Blankenship, Roger</t>
  </si>
  <si>
    <t>Gallegos, Rick</t>
  </si>
  <si>
    <t>Blevins, Carey</t>
  </si>
  <si>
    <t>Golden, Christine</t>
  </si>
  <si>
    <t>Bond, John</t>
  </si>
  <si>
    <t>Greene, Alexander</t>
  </si>
  <si>
    <t>Harrell, Cristin</t>
  </si>
  <si>
    <t>Boone, Eric</t>
  </si>
  <si>
    <t>Hart, Richard</t>
  </si>
  <si>
    <t>Booth, Raquel</t>
  </si>
  <si>
    <t>Johnston, Daniel</t>
  </si>
  <si>
    <t>Bowen, Kes</t>
  </si>
  <si>
    <t>Jordan, Mark</t>
  </si>
  <si>
    <t>Bowers, Tammy</t>
  </si>
  <si>
    <t>Joseph, Christopher</t>
  </si>
  <si>
    <t>Bowman, Michael</t>
  </si>
  <si>
    <t>Kent, Angus</t>
  </si>
  <si>
    <t>Boyer, John</t>
  </si>
  <si>
    <t>Leblanc, Jenny</t>
  </si>
  <si>
    <t>Bradford, Raymond</t>
  </si>
  <si>
    <t>Leonard, Paul</t>
  </si>
  <si>
    <t>Bradley, David</t>
  </si>
  <si>
    <t>McCall, Keith</t>
  </si>
  <si>
    <t>Bradshaw, Sheryl</t>
  </si>
  <si>
    <t>McDonald, Debra</t>
  </si>
  <si>
    <t>Brady, Traci</t>
  </si>
  <si>
    <t>McGuire, Rebecca</t>
  </si>
  <si>
    <t>Montoya, Lisa</t>
  </si>
  <si>
    <t>Brewer, Kent</t>
  </si>
  <si>
    <t>Morrow, Richard</t>
  </si>
  <si>
    <t>Bridges, Jeff</t>
  </si>
  <si>
    <t>Norris, Tamara</t>
  </si>
  <si>
    <t>Briggs, Bryan</t>
  </si>
  <si>
    <t>Norton, Bruce</t>
  </si>
  <si>
    <t>Brock, Ensley</t>
  </si>
  <si>
    <t>Padilla, Christopher</t>
  </si>
  <si>
    <t>Brooks, Richard</t>
  </si>
  <si>
    <t>Palmer, Terry</t>
  </si>
  <si>
    <t>Brown, Donald</t>
  </si>
  <si>
    <t>Parker, Carl</t>
  </si>
  <si>
    <t>Browning, Kathleen</t>
  </si>
  <si>
    <t>Payne, Vicky</t>
  </si>
  <si>
    <t>Bruce, Kevin</t>
  </si>
  <si>
    <t>Pope, Duane</t>
  </si>
  <si>
    <t>Bryan, Thomas</t>
  </si>
  <si>
    <t>Bryant, Douglas</t>
  </si>
  <si>
    <t>Richards, Richard</t>
  </si>
  <si>
    <t>Buchanan, Dennis</t>
  </si>
  <si>
    <t>Rodriquez, Denise</t>
  </si>
  <si>
    <t>Buckel, Patricia</t>
  </si>
  <si>
    <t>Rojas, Charles</t>
  </si>
  <si>
    <t>Bullock, Greg</t>
  </si>
  <si>
    <t>Ryan, Ryan</t>
  </si>
  <si>
    <t>Burgess, Cherie</t>
  </si>
  <si>
    <t>Silva, Stephen</t>
  </si>
  <si>
    <t>Burke, Michael</t>
  </si>
  <si>
    <t>Skinner, Jason</t>
  </si>
  <si>
    <t>Burnett, Kevin</t>
  </si>
  <si>
    <t>Villarreal, Stephen</t>
  </si>
  <si>
    <t>Burns, Fiona</t>
  </si>
  <si>
    <t>Vincent, Guy</t>
  </si>
  <si>
    <t>Burton, Cam</t>
  </si>
  <si>
    <t>Ward, Williams</t>
  </si>
  <si>
    <t>Bush, Rena</t>
  </si>
  <si>
    <t>Weiss, Marisa</t>
  </si>
  <si>
    <t>Butler, Roy</t>
  </si>
  <si>
    <t>Wheeler, Meegan</t>
  </si>
  <si>
    <t>Byrd, Asa</t>
  </si>
  <si>
    <t>Wiley, Gustavo</t>
  </si>
  <si>
    <t>Cain, Lon</t>
  </si>
  <si>
    <t>Wilkins, Jesse</t>
  </si>
  <si>
    <t>Caldwell, Pete</t>
  </si>
  <si>
    <t>William, William</t>
  </si>
  <si>
    <t>Calhoun, Dac Vinh</t>
  </si>
  <si>
    <t>Research/Development</t>
  </si>
  <si>
    <t>Callahan, Marilyn</t>
  </si>
  <si>
    <t>Camacho, Stephanie</t>
  </si>
  <si>
    <t>Dodson, David</t>
  </si>
  <si>
    <t>Cameron, John</t>
  </si>
  <si>
    <t>Garrett, Christopher</t>
  </si>
  <si>
    <t>Campbell, Michael</t>
  </si>
  <si>
    <t>McKee, Michelle</t>
  </si>
  <si>
    <t>Campos, Richard</t>
  </si>
  <si>
    <t>Morse, Michael</t>
  </si>
  <si>
    <t>Cannon, Jenny</t>
  </si>
  <si>
    <t>Owen, Robert</t>
  </si>
  <si>
    <t>Carey, Andrea</t>
  </si>
  <si>
    <t>Roman, Teri</t>
  </si>
  <si>
    <t>Carlson, Jeremy</t>
  </si>
  <si>
    <t>Carpenter, Ronald</t>
  </si>
  <si>
    <t>Daniels, Janet</t>
  </si>
  <si>
    <t>Dunn, Matthew</t>
  </si>
  <si>
    <t>Carrillo, Robert</t>
  </si>
  <si>
    <t>Fuller, Brenda</t>
  </si>
  <si>
    <t>Carroll, Lesa</t>
  </si>
  <si>
    <t>Haynes, Ernest</t>
  </si>
  <si>
    <t>Carson, Anthony</t>
  </si>
  <si>
    <t>Hutchinson, Robin</t>
  </si>
  <si>
    <t>Carter, Allan</t>
  </si>
  <si>
    <t>Perry, Christopher</t>
  </si>
  <si>
    <t>Castillo, Sheri</t>
  </si>
  <si>
    <t>Pierce, Karen</t>
  </si>
  <si>
    <t>Ramirez, Keith</t>
  </si>
  <si>
    <t>Chambers, Richard</t>
  </si>
  <si>
    <t>Chandler, Diane</t>
  </si>
  <si>
    <t>Chapman, Jessica</t>
  </si>
  <si>
    <t>Davis, Tonya</t>
  </si>
  <si>
    <t>Charles, Jeffrey</t>
  </si>
  <si>
    <t>Ferguson, John</t>
  </si>
  <si>
    <t>Gaines, Sheela</t>
  </si>
  <si>
    <t>Chavez, Thomas</t>
  </si>
  <si>
    <t>Hamilton, Theo</t>
  </si>
  <si>
    <t>Chen, Jaime</t>
  </si>
  <si>
    <t>Herring, Joanna</t>
  </si>
  <si>
    <t>Christensen, Jill</t>
  </si>
  <si>
    <t>Howard, Lisa</t>
  </si>
  <si>
    <t>Christian, Melissa</t>
  </si>
  <si>
    <t>Humphrey, Andrew</t>
  </si>
  <si>
    <t>Clark, William</t>
  </si>
  <si>
    <t>Keller, Jason</t>
  </si>
  <si>
    <t>McKenzie, Michelle</t>
  </si>
  <si>
    <t>Clay, William</t>
  </si>
  <si>
    <t>Meyers, David</t>
  </si>
  <si>
    <t>Clayton, Gregory</t>
  </si>
  <si>
    <t>Nash, Mark</t>
  </si>
  <si>
    <t>Cline, Rebecca</t>
  </si>
  <si>
    <t>Pace, Joseph</t>
  </si>
  <si>
    <t>Cobb, Nicole</t>
  </si>
  <si>
    <t>Perkins, Donald</t>
  </si>
  <si>
    <t>Cochran, Andrea</t>
  </si>
  <si>
    <t>Rivers, Douglas</t>
  </si>
  <si>
    <t>Cohen, Bruce</t>
  </si>
  <si>
    <t>Torres, Bruce</t>
  </si>
  <si>
    <t>Cole, Elbert</t>
  </si>
  <si>
    <t>Townsend, Jerry</t>
  </si>
  <si>
    <t>Coleman, Randi</t>
  </si>
  <si>
    <t>International Clinical Safety</t>
  </si>
  <si>
    <t>Collier, Dean</t>
  </si>
  <si>
    <t>Collins, Michael</t>
  </si>
  <si>
    <t>Moses, Mark</t>
  </si>
  <si>
    <t>Colon, Donnie</t>
  </si>
  <si>
    <t>Shelton, Donna</t>
  </si>
  <si>
    <t>Simon, Sheila</t>
  </si>
  <si>
    <t>Conley, Mark</t>
  </si>
  <si>
    <t>Conner, Mark</t>
  </si>
  <si>
    <t>Conway, Brett</t>
  </si>
  <si>
    <t>Cook, Mark</t>
  </si>
  <si>
    <t>Cortez, Jack</t>
  </si>
  <si>
    <t>Cox, Stephanie</t>
  </si>
  <si>
    <t>Major Mfg Projects</t>
  </si>
  <si>
    <t>Cross, Marc</t>
  </si>
  <si>
    <t>Crawford, Ronald</t>
  </si>
  <si>
    <t>Fields, Cathy</t>
  </si>
  <si>
    <t>Fisher, Maria</t>
  </si>
  <si>
    <t>Cruz, Janene</t>
  </si>
  <si>
    <t>Fitzgerald, George</t>
  </si>
  <si>
    <t>Cummings, Jose</t>
  </si>
  <si>
    <t>Garcia, Karen</t>
  </si>
  <si>
    <t>Cunningham, Denise</t>
  </si>
  <si>
    <t>Hammond, Robert</t>
  </si>
  <si>
    <t>Curtis, Patrick</t>
  </si>
  <si>
    <t>Jenkins, Scott</t>
  </si>
  <si>
    <t>Dalton, Carol</t>
  </si>
  <si>
    <t>Kemp, Holly</t>
  </si>
  <si>
    <t>Lester, Sherri</t>
  </si>
  <si>
    <t>May, Steve</t>
  </si>
  <si>
    <t>Davenport, Troy</t>
  </si>
  <si>
    <t>McCarthy, Ryan</t>
  </si>
  <si>
    <t>Davidson, Jaime</t>
  </si>
  <si>
    <t>Mendez, Max</t>
  </si>
  <si>
    <t>Mitchell, Shannon</t>
  </si>
  <si>
    <t>Morgan, Patricia</t>
  </si>
  <si>
    <t>Morrison, Julie</t>
  </si>
  <si>
    <t>Dean, Gayla</t>
  </si>
  <si>
    <t>Nichols, Nathaniel</t>
  </si>
  <si>
    <t>Decker, Amy</t>
  </si>
  <si>
    <t>Ortega, Jeffrey</t>
  </si>
  <si>
    <t>Delgado, Dale</t>
  </si>
  <si>
    <t>Owens, Dwight</t>
  </si>
  <si>
    <t>Dennis, Paul</t>
  </si>
  <si>
    <t>Phillips, Liesl</t>
  </si>
  <si>
    <t>Poole, Tracy</t>
  </si>
  <si>
    <t>Dickerson, Lincoln</t>
  </si>
  <si>
    <t>Roberts, Jackie</t>
  </si>
  <si>
    <t>Dixon, Richard</t>
  </si>
  <si>
    <t>Sanchez, Greg</t>
  </si>
  <si>
    <t>Sims, Don</t>
  </si>
  <si>
    <t>Dominguez, Duane</t>
  </si>
  <si>
    <t>Snow, Desiree</t>
  </si>
  <si>
    <t>Dorsey, Matthew</t>
  </si>
  <si>
    <t>Solomon, Michael</t>
  </si>
  <si>
    <t>Douglas, Kenneth</t>
  </si>
  <si>
    <t>Spears, Melanie</t>
  </si>
  <si>
    <t>Doyle, Leslie</t>
  </si>
  <si>
    <t>Stanley, Eric</t>
  </si>
  <si>
    <t>Dudley, James</t>
  </si>
  <si>
    <t>Thompson, John</t>
  </si>
  <si>
    <t>Duncan, George</t>
  </si>
  <si>
    <t>Vaughn, Harlon</t>
  </si>
  <si>
    <t>Duran, Brian</t>
  </si>
  <si>
    <t>Drake, Kyle</t>
  </si>
  <si>
    <t>Durham, Troy</t>
  </si>
  <si>
    <t>Gallagher, Johnson</t>
  </si>
  <si>
    <t>Gardner, Anthony</t>
  </si>
  <si>
    <t>Eaton, Cris</t>
  </si>
  <si>
    <t>Hancock, Allen</t>
  </si>
  <si>
    <t>Edwards, Phillip</t>
  </si>
  <si>
    <t>Hill, Robin</t>
  </si>
  <si>
    <t>Elliott, Anthony</t>
  </si>
  <si>
    <t>Mack, Barry</t>
  </si>
  <si>
    <t>Ellis, Brenda</t>
  </si>
  <si>
    <t>Neal, Sally</t>
  </si>
  <si>
    <t>Ellison, Melissa</t>
  </si>
  <si>
    <t>English, David</t>
  </si>
  <si>
    <t>Erickson, Ricky</t>
  </si>
  <si>
    <t>Espinoza, Derrell</t>
  </si>
  <si>
    <t>Estes, Mary</t>
  </si>
  <si>
    <t>Estrada, Joan</t>
  </si>
  <si>
    <t>Evans, Rolin</t>
  </si>
  <si>
    <t>Everett, Dan</t>
  </si>
  <si>
    <t>Farmer, Suzanne</t>
  </si>
  <si>
    <t>Fernandez, Marie</t>
  </si>
  <si>
    <t>Figueroa, Leonard</t>
  </si>
  <si>
    <t>Fletcher, Brian</t>
  </si>
  <si>
    <t>Flores, Angela</t>
  </si>
  <si>
    <t>Flowers, Kathleen</t>
  </si>
  <si>
    <t>Floyd, Eric</t>
  </si>
  <si>
    <t>Flynn, Melissa</t>
  </si>
  <si>
    <t>Foley, Peter</t>
  </si>
  <si>
    <t>Ford, Matt</t>
  </si>
  <si>
    <t>Fowler, John</t>
  </si>
  <si>
    <t>Fox, Ellen</t>
  </si>
  <si>
    <t>Frank, William</t>
  </si>
  <si>
    <t>Franklin, Alicia</t>
  </si>
  <si>
    <t>Frazier, Chris</t>
  </si>
  <si>
    <t>French, Robert</t>
  </si>
  <si>
    <t>Garner, Terry</t>
  </si>
  <si>
    <t>Garrison, Christopher</t>
  </si>
  <si>
    <t>Farrell, Laura</t>
  </si>
  <si>
    <t>Garza, Anthony</t>
  </si>
  <si>
    <t>Gates, Anne</t>
  </si>
  <si>
    <t>Gentry, John</t>
  </si>
  <si>
    <t>George, Jessica</t>
  </si>
  <si>
    <t>Gibbs, Debra</t>
  </si>
  <si>
    <t>Gibson, Janet</t>
  </si>
  <si>
    <t>Gilbert, Shannon</t>
  </si>
  <si>
    <t>Giles, Kathleen</t>
  </si>
  <si>
    <t>Gilmore, Terry</t>
  </si>
  <si>
    <t>Glass, John</t>
  </si>
  <si>
    <t>Glenn, Christopher</t>
  </si>
  <si>
    <t>Glover, Eugene</t>
  </si>
  <si>
    <t>Gonzalez, David</t>
  </si>
  <si>
    <t>Gomez, Ed</t>
  </si>
  <si>
    <t>Goodman, Kuyler</t>
  </si>
  <si>
    <t>Gonzales, David</t>
  </si>
  <si>
    <t>Graham, David</t>
  </si>
  <si>
    <t>Graves, Michael</t>
  </si>
  <si>
    <t>Gregory, Jon</t>
  </si>
  <si>
    <t>Goodwin, April</t>
  </si>
  <si>
    <t>Gross, Davin</t>
  </si>
  <si>
    <t>Gordon, Diane</t>
  </si>
  <si>
    <t>Guzman, Don</t>
  </si>
  <si>
    <t>Hanson, Dennis</t>
  </si>
  <si>
    <t>Grant, Leonard</t>
  </si>
  <si>
    <t>Hartman, Michael</t>
  </si>
  <si>
    <t>Hawkins, Douglas</t>
  </si>
  <si>
    <t>Green, Kim</t>
  </si>
  <si>
    <t>Henson, Debra</t>
  </si>
  <si>
    <t>Herman, Henrietta</t>
  </si>
  <si>
    <t>Greer, Brian</t>
  </si>
  <si>
    <t>Hess, Brian</t>
  </si>
  <si>
    <t>Griffin, Debbi</t>
  </si>
  <si>
    <t>Hines, Herb</t>
  </si>
  <si>
    <t>Grimes, Jeffrey</t>
  </si>
  <si>
    <t>Hobbs, Scott</t>
  </si>
  <si>
    <t>Hodge, Craig</t>
  </si>
  <si>
    <t>Guerra, Karen</t>
  </si>
  <si>
    <t>Holt, Robert</t>
  </si>
  <si>
    <t>Guerrero, Laura</t>
  </si>
  <si>
    <t>Hopkins, Lisa</t>
  </si>
  <si>
    <t>Gutierrez, Regina</t>
  </si>
  <si>
    <t>Horn, George</t>
  </si>
  <si>
    <t>Houston, Mark</t>
  </si>
  <si>
    <t>Hale, Deon</t>
  </si>
  <si>
    <t>Ingram, Matt</t>
  </si>
  <si>
    <t>Hall, Jenny</t>
  </si>
  <si>
    <t>Jones, John</t>
  </si>
  <si>
    <t>Kelley, Nancy</t>
  </si>
  <si>
    <t>Kennedy, Kimberly</t>
  </si>
  <si>
    <t>Knox, Lori</t>
  </si>
  <si>
    <t>Hansen, Andrew</t>
  </si>
  <si>
    <t>Landry, Linda</t>
  </si>
  <si>
    <t>Lane, Brandyn</t>
  </si>
  <si>
    <t>Hardin, Gregory</t>
  </si>
  <si>
    <t>Lawrence, Ronald</t>
  </si>
  <si>
    <t>Harding, Erin</t>
  </si>
  <si>
    <t>Lawson, Erin</t>
  </si>
  <si>
    <t>Little, Steve</t>
  </si>
  <si>
    <t>Harmon, Paul</t>
  </si>
  <si>
    <t>Long, Gary</t>
  </si>
  <si>
    <t>Harper, Cynthia</t>
  </si>
  <si>
    <t>Love, Danny</t>
  </si>
  <si>
    <t>Lucas, John</t>
  </si>
  <si>
    <t>Harrington, Aron</t>
  </si>
  <si>
    <t>Manning, John</t>
  </si>
  <si>
    <t>Harris, Brian</t>
  </si>
  <si>
    <t>Mathews, Marcia</t>
  </si>
  <si>
    <t>Harrison, Jonathan</t>
  </si>
  <si>
    <t>Maynard, Susan</t>
  </si>
  <si>
    <t>McClure, Gary</t>
  </si>
  <si>
    <t>McCormick, Hsi</t>
  </si>
  <si>
    <t>Harvey, Michael</t>
  </si>
  <si>
    <t>McCullough, Scott</t>
  </si>
  <si>
    <t>Hatfield, Carl</t>
  </si>
  <si>
    <t>Miller, Jessica</t>
  </si>
  <si>
    <t>Molina, Michael</t>
  </si>
  <si>
    <t>Hayes, Edward</t>
  </si>
  <si>
    <t>Research Center</t>
  </si>
  <si>
    <t>Montgomery, Christopher</t>
  </si>
  <si>
    <t>Moreno, Christopher</t>
  </si>
  <si>
    <t>Heath, Deborah</t>
  </si>
  <si>
    <t>Murphy, Jeff</t>
  </si>
  <si>
    <t>Henderson, Anthony</t>
  </si>
  <si>
    <t>Myers, Marc</t>
  </si>
  <si>
    <t>Henry, Craig</t>
  </si>
  <si>
    <t>Nguyen, Dennis</t>
  </si>
  <si>
    <t>Hensley, William</t>
  </si>
  <si>
    <t>Nicholson, Lee</t>
  </si>
  <si>
    <t>Norman, Rita</t>
  </si>
  <si>
    <t>Olson, Melanie</t>
  </si>
  <si>
    <t>Hernandez, Glenn</t>
  </si>
  <si>
    <t>Orr, Jennifer</t>
  </si>
  <si>
    <t>Herrera, Shawn</t>
  </si>
  <si>
    <t>Osborne, Bill</t>
  </si>
  <si>
    <t>Patton, Corey</t>
  </si>
  <si>
    <t>Paul, Michael</t>
  </si>
  <si>
    <t>Hickman, John</t>
  </si>
  <si>
    <t>Phelps, Gretchen</t>
  </si>
  <si>
    <t>Hicks, Monica</t>
  </si>
  <si>
    <t>Pitts, Dana</t>
  </si>
  <si>
    <t>Higgins, Angela</t>
  </si>
  <si>
    <t>Preston, Chris</t>
  </si>
  <si>
    <t>Reyes, Mary</t>
  </si>
  <si>
    <t>Reynolds, Barbara</t>
  </si>
  <si>
    <t>Richard, Karen</t>
  </si>
  <si>
    <t>Rios, Fredrick</t>
  </si>
  <si>
    <t>DR</t>
  </si>
  <si>
    <t>Hodges, Lisa</t>
  </si>
  <si>
    <t>Rivera, Timothy</t>
  </si>
  <si>
    <t>Hoffman, Brian D</t>
  </si>
  <si>
    <t>Roberson, Eileen</t>
  </si>
  <si>
    <t>Hogan, Daniel</t>
  </si>
  <si>
    <t>Robles, Charles</t>
  </si>
  <si>
    <t>Rodgers, Daniel</t>
  </si>
  <si>
    <t>Holloway, Christopher</t>
  </si>
  <si>
    <t>Romero, Randy</t>
  </si>
  <si>
    <t>Holmes, Tito</t>
  </si>
  <si>
    <t>Rowe, Ken</t>
  </si>
  <si>
    <t>Rush, Lateef</t>
  </si>
  <si>
    <t>Russell, Mark</t>
  </si>
  <si>
    <t>Hoover, Evangeline</t>
  </si>
  <si>
    <t>Santos, Garret</t>
  </si>
  <si>
    <t>Saunders, Corey</t>
  </si>
  <si>
    <t>Scott, Todd</t>
  </si>
  <si>
    <t>Horton, Cleatis</t>
  </si>
  <si>
    <t>Sellers, William</t>
  </si>
  <si>
    <t>House, Paul</t>
  </si>
  <si>
    <t>Sexton, John</t>
  </si>
  <si>
    <t>Sheppard, Curtis</t>
  </si>
  <si>
    <t>Small, Athanasios</t>
  </si>
  <si>
    <t>Howell, Douglas</t>
  </si>
  <si>
    <t>Stewart, Elizabeth</t>
  </si>
  <si>
    <t>Hubbard, Sandra</t>
  </si>
  <si>
    <t>Strickland, Rajean</t>
  </si>
  <si>
    <t>Hudson, Lorna</t>
  </si>
  <si>
    <t>Huff, Erik</t>
  </si>
  <si>
    <t>Todd, Steven</t>
  </si>
  <si>
    <t>Huffman, Ignacio</t>
  </si>
  <si>
    <t>Tran, Chad</t>
  </si>
  <si>
    <t>Hughes, Kevin</t>
  </si>
  <si>
    <t>Trevino, Gary</t>
  </si>
  <si>
    <t>Hull, Jeanne</t>
  </si>
  <si>
    <t>Tucker, James</t>
  </si>
  <si>
    <t>Hunt, Norman</t>
  </si>
  <si>
    <t>Tyler, Javier</t>
  </si>
  <si>
    <t>Hunter, Lisa</t>
  </si>
  <si>
    <t>Vargas, Bryant</t>
  </si>
  <si>
    <t>Hurst, Thomas</t>
  </si>
  <si>
    <t>Vasquez, Michael</t>
  </si>
  <si>
    <t>Wall, John</t>
  </si>
  <si>
    <t>Wallace, Timothy</t>
  </si>
  <si>
    <t>Jackson, Eric</t>
  </si>
  <si>
    <t>Walter, Michael</t>
  </si>
  <si>
    <t>Jacobs, Florianne</t>
  </si>
  <si>
    <t>Washington, Phillip</t>
  </si>
  <si>
    <t>James, Lynn</t>
  </si>
  <si>
    <t>Watts, Curtis</t>
  </si>
  <si>
    <t>Jefferson, Elaine</t>
  </si>
  <si>
    <t>Weaver, Eric</t>
  </si>
  <si>
    <t>Webb, Jim</t>
  </si>
  <si>
    <t>Jennings, Gary</t>
  </si>
  <si>
    <t>Welch, Michael</t>
  </si>
  <si>
    <t>Jensen, Kristina</t>
  </si>
  <si>
    <t>West, Jeffrey</t>
  </si>
  <si>
    <t>Jimenez, Dominic</t>
  </si>
  <si>
    <t>Johns, Chad</t>
  </si>
  <si>
    <t>Williams, Scott</t>
  </si>
  <si>
    <t>Johnson, Mary Jo</t>
  </si>
  <si>
    <t>Wood, Larry</t>
  </si>
  <si>
    <t>Woodward, Timothy</t>
  </si>
  <si>
    <t>Yates, Doug</t>
  </si>
  <si>
    <t>Juarez, Neill</t>
  </si>
  <si>
    <t>Keith, Thomas</t>
  </si>
  <si>
    <t>Livingston, Lynette</t>
  </si>
  <si>
    <t>Pacheco, Therese</t>
  </si>
  <si>
    <t>Porter, Rachel</t>
  </si>
  <si>
    <t>Kelly, Icelita</t>
  </si>
  <si>
    <t>Reeves, Greg</t>
  </si>
  <si>
    <t>Kim, Deborah</t>
  </si>
  <si>
    <t>King, Taslim</t>
  </si>
  <si>
    <t>Kirk, Chris</t>
  </si>
  <si>
    <t>Knight, Denise</t>
  </si>
  <si>
    <t>Coleman, Roque</t>
  </si>
  <si>
    <t>Koch, Danielle</t>
  </si>
  <si>
    <t>Kramer, Faye</t>
  </si>
  <si>
    <t>Lamb, John</t>
  </si>
  <si>
    <t>Lambert, Jody</t>
  </si>
  <si>
    <t>Lang, Dana</t>
  </si>
  <si>
    <t>Larsen, Lara</t>
  </si>
  <si>
    <t>Larson, David</t>
  </si>
  <si>
    <t>Leach, Jingwen</t>
  </si>
  <si>
    <t>Lee, Charles</t>
  </si>
  <si>
    <t>Leon, Emily</t>
  </si>
  <si>
    <t>Kirby, Michael</t>
  </si>
  <si>
    <t>Lewis, Frederick</t>
  </si>
  <si>
    <t>Lindsey, Deborah</t>
  </si>
  <si>
    <t>Lowe, Michelle</t>
  </si>
  <si>
    <t>Marquez, Thomas</t>
  </si>
  <si>
    <t>Marsh, Cynthia</t>
  </si>
  <si>
    <t>Lloyd, John</t>
  </si>
  <si>
    <t>Matthews, Diane</t>
  </si>
  <si>
    <t>Logan, Karen</t>
  </si>
  <si>
    <t>McCoy, Preston</t>
  </si>
  <si>
    <t>McKinney, Christofer</t>
  </si>
  <si>
    <t>Lopez, Stephen</t>
  </si>
  <si>
    <t>Mercado, David</t>
  </si>
  <si>
    <t>Middleton, Jen</t>
  </si>
  <si>
    <t>Morales, Linda</t>
  </si>
  <si>
    <t>Lowery, Charles</t>
  </si>
  <si>
    <t>Munoz, Michael</t>
  </si>
  <si>
    <t>Parrish, Debra</t>
  </si>
  <si>
    <t>Luna, Rodney</t>
  </si>
  <si>
    <t>Potter, Dawn</t>
  </si>
  <si>
    <t>Lynch, Scott</t>
  </si>
  <si>
    <t>Rich, Brent</t>
  </si>
  <si>
    <t>Lyons, Brian</t>
  </si>
  <si>
    <t>Rogers, Colleen</t>
  </si>
  <si>
    <t>Ross, Janice</t>
  </si>
  <si>
    <t>Maldonado, Robert</t>
  </si>
  <si>
    <t>Roth, Tony</t>
  </si>
  <si>
    <t>Savage, John</t>
  </si>
  <si>
    <t>Mann, Lowell</t>
  </si>
  <si>
    <t>Schroeder, Bennet</t>
  </si>
  <si>
    <t>Sharp, Janine</t>
  </si>
  <si>
    <t>Marks, LaReina</t>
  </si>
  <si>
    <t>Soto, Christopher</t>
  </si>
  <si>
    <t>Stephenson, Matthew</t>
  </si>
  <si>
    <t>Stone, Brian</t>
  </si>
  <si>
    <t>Marshall, Anita</t>
  </si>
  <si>
    <t>Trujillo, Shawn</t>
  </si>
  <si>
    <t>Martin, Terry</t>
  </si>
  <si>
    <t>Valdez, Ann</t>
  </si>
  <si>
    <t>Martinez, Kathleen</t>
  </si>
  <si>
    <t>Wells, Carlos</t>
  </si>
  <si>
    <t>Mason, Suzanne</t>
  </si>
  <si>
    <t>Massey, Mark</t>
  </si>
  <si>
    <t>Wilson, Jessica</t>
  </si>
  <si>
    <t>Mathis, Shari</t>
  </si>
  <si>
    <t>Maxwell, Jill</t>
  </si>
  <si>
    <t>McBride, Grazyna</t>
  </si>
  <si>
    <t>McClain, Steven</t>
  </si>
  <si>
    <t>McConnell, Justin</t>
  </si>
  <si>
    <t>Lara, Mark</t>
  </si>
  <si>
    <t>McDaniel, Tamara</t>
  </si>
  <si>
    <t>McDowell, Scott</t>
  </si>
  <si>
    <t>Richardson, Deborah</t>
  </si>
  <si>
    <t>Smith, Koleen</t>
  </si>
  <si>
    <t>McIntosh, Jeremy</t>
  </si>
  <si>
    <t>Summers, Harold</t>
  </si>
  <si>
    <t>Swanson, Vicki</t>
  </si>
  <si>
    <t>Wade, Kevin</t>
  </si>
  <si>
    <t>Walls, Brian</t>
  </si>
  <si>
    <t>McLaughlin, Edward</t>
  </si>
  <si>
    <t>Weber, Larry</t>
  </si>
  <si>
    <t>McLean, Richard</t>
  </si>
  <si>
    <t>Medina, Warren</t>
  </si>
  <si>
    <t>Monroe, Justin</t>
  </si>
  <si>
    <t>Melton, Scott</t>
  </si>
  <si>
    <t>Patrick, Wendy</t>
  </si>
  <si>
    <t>Winters, Shaun</t>
  </si>
  <si>
    <t>Merritt, Kevin</t>
  </si>
  <si>
    <t>Meyer, Charles</t>
  </si>
  <si>
    <t>Miles, Kenneth</t>
  </si>
  <si>
    <t>Mills, Melissa</t>
  </si>
  <si>
    <t>Miranda, Elena</t>
  </si>
  <si>
    <t>Freeman, Dennis</t>
  </si>
  <si>
    <t>Moody, Matthew</t>
  </si>
  <si>
    <t>Moore, Robert</t>
  </si>
  <si>
    <t>Moran, Carol</t>
  </si>
  <si>
    <t>Morris, Richelle</t>
  </si>
  <si>
    <t>Klein, Robert</t>
  </si>
  <si>
    <t>Morton, Brian</t>
  </si>
  <si>
    <t>Mosley, Michael</t>
  </si>
  <si>
    <t>Mueller, Philip</t>
  </si>
  <si>
    <t>Murray, Rebecca</t>
  </si>
  <si>
    <t>Mullins, Angela</t>
  </si>
  <si>
    <t>Navarro, Marc</t>
  </si>
  <si>
    <t>Newton, Leigh</t>
  </si>
  <si>
    <t>Nixon, Randy</t>
  </si>
  <si>
    <t>Pearson, Cassy</t>
  </si>
  <si>
    <t>Price, Diana</t>
  </si>
  <si>
    <t>Rice, Diane</t>
  </si>
  <si>
    <t>Nelson, Shira</t>
  </si>
  <si>
    <t>Robbins, Suzanne</t>
  </si>
  <si>
    <t>Newman, Aria</t>
  </si>
  <si>
    <t>Robinson, John</t>
  </si>
  <si>
    <t>Rose, Mark</t>
  </si>
  <si>
    <t>Salinas, Jon</t>
  </si>
  <si>
    <t>Short, Timothy</t>
  </si>
  <si>
    <t>Sparks, Terri</t>
  </si>
  <si>
    <t>Stephens, Bonnie</t>
  </si>
  <si>
    <t>Stokes, Jonathan</t>
  </si>
  <si>
    <t>Underwood, Todd</t>
  </si>
  <si>
    <t>Wyatt, Kelly</t>
  </si>
  <si>
    <t>Nunez, Benning</t>
  </si>
  <si>
    <t>O'Brien, Madelyn</t>
  </si>
  <si>
    <t>Oliver, Francisco</t>
  </si>
  <si>
    <t>Olsen, Ewan</t>
  </si>
  <si>
    <t>O'Neal, William</t>
  </si>
  <si>
    <t>Ortiz, Cynthia</t>
  </si>
  <si>
    <t>Pena, Erik</t>
  </si>
  <si>
    <t>Pruitt, Randy</t>
  </si>
  <si>
    <t>Salazar, Ruben</t>
  </si>
  <si>
    <t>Sherman, Karin</t>
  </si>
  <si>
    <t>Stevenson, Michael</t>
  </si>
  <si>
    <t>Watson, Christian</t>
  </si>
  <si>
    <t>Parks, Christopher</t>
  </si>
  <si>
    <t>Parsons, Phillip</t>
  </si>
  <si>
    <t>Patel, Donald</t>
  </si>
  <si>
    <t>Patterson, Robert</t>
  </si>
  <si>
    <t>Pennington, Gary</t>
  </si>
  <si>
    <t>Perez, Kim</t>
  </si>
  <si>
    <t>Peters, Robert</t>
  </si>
  <si>
    <t>Curry, Hunyen</t>
  </si>
  <si>
    <t>Peterson, Shaun</t>
  </si>
  <si>
    <t>Deleon, Jaquelyn</t>
  </si>
  <si>
    <t>Pittman, Bacardi</t>
  </si>
  <si>
    <t>Powell, Juli</t>
  </si>
  <si>
    <t>Powers, Tia</t>
  </si>
  <si>
    <t>Gill, Douglas</t>
  </si>
  <si>
    <t>Prince, Robert</t>
  </si>
  <si>
    <t>Gray, Mark</t>
  </si>
  <si>
    <t>Pugh, Lawrence</t>
  </si>
  <si>
    <t>Quinn, Cinnamon</t>
  </si>
  <si>
    <t>Ramos, Jan</t>
  </si>
  <si>
    <t>Ramsey, Nathaniel</t>
  </si>
  <si>
    <t>Randolph, Kristin</t>
  </si>
  <si>
    <t>Ray, ReAnnon</t>
  </si>
  <si>
    <t>Reed, Larry</t>
  </si>
  <si>
    <t>Reese, Marc</t>
  </si>
  <si>
    <t>Reid, Elizabeth</t>
  </si>
  <si>
    <t>Rhodes, Brenda</t>
  </si>
  <si>
    <t>Riley, David</t>
  </si>
  <si>
    <t>Robertson, Nathan</t>
  </si>
  <si>
    <t>Obrien, Madelyn</t>
  </si>
  <si>
    <t>Ruiz, Randall</t>
  </si>
  <si>
    <t>Sandoval, James</t>
  </si>
  <si>
    <t>Santiago, Michael</t>
  </si>
  <si>
    <t>Schultz, Norman</t>
  </si>
  <si>
    <t>Spencer, Boyd</t>
  </si>
  <si>
    <t>Strong, Lisa</t>
  </si>
  <si>
    <t>Terry, Karin</t>
  </si>
  <si>
    <t>Vazquez, Kenneth</t>
  </si>
  <si>
    <t>Warren, Jean</t>
  </si>
  <si>
    <t>Wilkinson, Gregory</t>
  </si>
  <si>
    <t>Wise, Ted</t>
  </si>
  <si>
    <t>Sanders, Troy</t>
  </si>
  <si>
    <t>Wolfe, Keith</t>
  </si>
  <si>
    <t>Wong, Dennis</t>
  </si>
  <si>
    <t>Woodard, Charles</t>
  </si>
  <si>
    <t>Young, Benjamin</t>
  </si>
  <si>
    <t>Sawyer, Catherine</t>
  </si>
  <si>
    <t>Schmidt, Michael</t>
  </si>
  <si>
    <t>Schneider, Gay</t>
  </si>
  <si>
    <t>Schwartz, Joseph</t>
  </si>
  <si>
    <t>Shaffer, Nobuko</t>
  </si>
  <si>
    <t>Shannon, Kevin</t>
  </si>
  <si>
    <t>Casey, Ronald</t>
  </si>
  <si>
    <t>Shaw, Pat</t>
  </si>
  <si>
    <t>Shepherd, Annie</t>
  </si>
  <si>
    <t>Shields, Robert</t>
  </si>
  <si>
    <t>Simmons, Robert</t>
  </si>
  <si>
    <t>Simpson, Jimmy</t>
  </si>
  <si>
    <t>Griffith, Michelle</t>
  </si>
  <si>
    <t>Singleton, David</t>
  </si>
  <si>
    <t>Sloan, Cindy</t>
  </si>
  <si>
    <t>Snyder, Duane</t>
  </si>
  <si>
    <t>Solis, Daniel</t>
  </si>
  <si>
    <t>Stafford, Rhonda</t>
  </si>
  <si>
    <t>Mendoza, Bobby</t>
  </si>
  <si>
    <t>Oneal, William</t>
  </si>
  <si>
    <t>Sutton, Matthew</t>
  </si>
  <si>
    <t>Sweeney, Barbara</t>
  </si>
  <si>
    <t>Thomas, Shannon</t>
  </si>
  <si>
    <t>Thornton, Charles</t>
  </si>
  <si>
    <t>Vance, Cheryl</t>
  </si>
  <si>
    <t>Velez, Letitia</t>
  </si>
  <si>
    <t>Walsh, Matthew</t>
  </si>
  <si>
    <t>Ware, David</t>
  </si>
  <si>
    <t>Warner, Stephen</t>
  </si>
  <si>
    <t>Waters, Alfred</t>
  </si>
  <si>
    <t>Whitaker, Jessica</t>
  </si>
  <si>
    <t>Whitehead, Carolyn</t>
  </si>
  <si>
    <t>Wilcox, Robert</t>
  </si>
  <si>
    <t>Willis, Ralph</t>
  </si>
  <si>
    <t>Wright, Brad</t>
  </si>
  <si>
    <t>York, Steven</t>
  </si>
  <si>
    <t>Velasquez, Clint</t>
  </si>
  <si>
    <t>Wagner, Lynne</t>
  </si>
  <si>
    <t>Walker, Mike</t>
  </si>
  <si>
    <t>Walters, Ann</t>
  </si>
  <si>
    <t>Walton, Benjamin</t>
  </si>
  <si>
    <t>Watkins, Gary</t>
  </si>
  <si>
    <t>Finley, James</t>
  </si>
  <si>
    <t>Weeks, Troy</t>
  </si>
  <si>
    <t>Hampton, Catherine</t>
  </si>
  <si>
    <t>Wilkerson, Claudia</t>
  </si>
  <si>
    <t>Woods, Marcus</t>
  </si>
  <si>
    <t>Zimmerman, Julian</t>
  </si>
  <si>
    <t>Turner, Ray</t>
  </si>
  <si>
    <t>Williamson, Sumedha</t>
  </si>
  <si>
    <t>Steele, Gerald</t>
  </si>
  <si>
    <t>Gomez, Robert</t>
  </si>
  <si>
    <t xml:space="preserve">  ( ) ^ * / +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</si>
</sst>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;\(0.0%\)"/>
    <numFmt numFmtId="168" formatCode="[&lt;=9999999]###\-####;\(###\)\ ###\-####"/>
    <numFmt numFmtId="169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right"/>
    </xf>
    <xf numFmtId="0" fontId="3" fillId="2" borderId="1" xfId="2" applyFont="1" applyFill="1" applyBorder="1" applyAlignment="1" applyProtection="1">
      <alignment horizontal="left" vertical="top"/>
      <protection locked="0"/>
    </xf>
    <xf numFmtId="0" fontId="3" fillId="2" borderId="1" xfId="2" applyFont="1" applyFill="1" applyBorder="1" applyAlignment="1" applyProtection="1">
      <alignment vertical="top"/>
      <protection locked="0"/>
    </xf>
    <xf numFmtId="15" fontId="3" fillId="2" borderId="1" xfId="2" applyNumberFormat="1" applyFont="1" applyFill="1" applyBorder="1" applyAlignment="1" applyProtection="1">
      <alignment horizontal="right" vertical="top"/>
      <protection locked="0"/>
    </xf>
    <xf numFmtId="0" fontId="3" fillId="2" borderId="1" xfId="2" applyFont="1" applyFill="1" applyBorder="1" applyAlignment="1">
      <alignment horizontal="right" vertical="top"/>
    </xf>
    <xf numFmtId="164" fontId="3" fillId="2" borderId="1" xfId="3" applyNumberFormat="1" applyFont="1" applyFill="1" applyBorder="1" applyAlignment="1" applyProtection="1">
      <alignment vertical="top"/>
      <protection locked="0"/>
    </xf>
    <xf numFmtId="43" fontId="3" fillId="2" borderId="1" xfId="3" applyFont="1" applyFill="1" applyBorder="1" applyAlignment="1" applyProtection="1">
      <alignment horizontal="right" vertical="top"/>
    </xf>
    <xf numFmtId="0" fontId="4" fillId="0" borderId="0" xfId="2" applyFont="1" applyProtection="1">
      <protection locked="0"/>
    </xf>
    <xf numFmtId="15" fontId="4" fillId="0" borderId="0" xfId="2" applyNumberFormat="1" applyFont="1" applyProtection="1">
      <protection locked="0"/>
    </xf>
    <xf numFmtId="164" fontId="4" fillId="0" borderId="0" xfId="3" applyNumberFormat="1" applyFont="1" applyFill="1" applyProtection="1"/>
    <xf numFmtId="164" fontId="4" fillId="0" borderId="0" xfId="3" applyNumberFormat="1" applyFont="1" applyFill="1" applyAlignment="1" applyProtection="1">
      <protection locked="0"/>
    </xf>
    <xf numFmtId="43" fontId="4" fillId="0" borderId="0" xfId="3" applyFont="1" applyFill="1" applyProtection="1">
      <protection locked="0"/>
    </xf>
    <xf numFmtId="9" fontId="4" fillId="0" borderId="0" xfId="4" applyFont="1" applyProtection="1">
      <protection locked="0"/>
    </xf>
    <xf numFmtId="166" fontId="3" fillId="0" borderId="0" xfId="4" applyNumberFormat="1" applyFont="1" applyFill="1" applyBorder="1" applyAlignment="1" applyProtection="1">
      <alignment vertical="top" wrapText="1"/>
      <protection locked="0"/>
    </xf>
    <xf numFmtId="0" fontId="0" fillId="0" borderId="0" xfId="1" applyNumberFormat="1" applyFont="1"/>
    <xf numFmtId="0" fontId="0" fillId="0" borderId="0" xfId="6" applyNumberFormat="1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164" fontId="5" fillId="0" borderId="0" xfId="0" applyNumberFormat="1" applyFont="1"/>
    <xf numFmtId="164" fontId="5" fillId="0" borderId="0" xfId="3" applyNumberFormat="1" applyFont="1"/>
    <xf numFmtId="0" fontId="3" fillId="2" borderId="1" xfId="2" applyFont="1" applyFill="1" applyBorder="1" applyAlignment="1">
      <alignment horizontal="left" vertical="top"/>
    </xf>
    <xf numFmtId="0" fontId="3" fillId="2" borderId="1" xfId="2" applyFont="1" applyFill="1" applyBorder="1" applyAlignment="1">
      <alignment vertical="top"/>
    </xf>
    <xf numFmtId="164" fontId="3" fillId="2" borderId="1" xfId="3" applyNumberFormat="1" applyFont="1" applyFill="1" applyBorder="1" applyAlignment="1" applyProtection="1">
      <alignment vertical="top"/>
    </xf>
    <xf numFmtId="166" fontId="3" fillId="0" borderId="0" xfId="4" applyNumberFormat="1" applyFont="1" applyFill="1" applyBorder="1" applyAlignment="1" applyProtection="1">
      <alignment vertical="top" wrapText="1"/>
    </xf>
    <xf numFmtId="0" fontId="4" fillId="0" borderId="0" xfId="2" applyFont="1"/>
    <xf numFmtId="164" fontId="4" fillId="0" borderId="0" xfId="3" applyNumberFormat="1" applyFont="1" applyFill="1" applyAlignment="1" applyProtection="1"/>
    <xf numFmtId="0" fontId="4" fillId="0" borderId="0" xfId="4" applyNumberFormat="1" applyFont="1" applyProtection="1"/>
    <xf numFmtId="164" fontId="0" fillId="0" borderId="0" xfId="0" applyNumberFormat="1"/>
    <xf numFmtId="165" fontId="0" fillId="0" borderId="0" xfId="5" applyNumberFormat="1" applyFont="1" applyProtection="1"/>
    <xf numFmtId="14" fontId="3" fillId="2" borderId="1" xfId="2" applyNumberFormat="1" applyFont="1" applyFill="1" applyBorder="1" applyAlignment="1">
      <alignment horizontal="right" vertical="top"/>
    </xf>
    <xf numFmtId="14" fontId="0" fillId="0" borderId="0" xfId="0" applyNumberFormat="1"/>
    <xf numFmtId="14" fontId="4" fillId="0" borderId="0" xfId="2" applyNumberFormat="1" applyFont="1"/>
    <xf numFmtId="164" fontId="3" fillId="2" borderId="1" xfId="3" applyNumberFormat="1" applyFont="1" applyFill="1" applyBorder="1" applyAlignment="1" applyProtection="1">
      <alignment horizontal="right" vertical="top"/>
    </xf>
    <xf numFmtId="3" fontId="4" fillId="0" borderId="0" xfId="3" applyNumberFormat="1" applyFont="1" applyFill="1" applyAlignment="1" applyProtection="1"/>
    <xf numFmtId="0" fontId="6" fillId="2" borderId="1" xfId="2" applyFont="1" applyFill="1" applyBorder="1" applyAlignment="1">
      <alignment horizontal="left" vertical="top"/>
    </xf>
    <xf numFmtId="0" fontId="6" fillId="2" borderId="1" xfId="2" applyFont="1" applyFill="1" applyBorder="1" applyAlignment="1">
      <alignment vertical="top"/>
    </xf>
    <xf numFmtId="0" fontId="6" fillId="2" borderId="1" xfId="2" applyFont="1" applyFill="1" applyBorder="1" applyAlignment="1">
      <alignment horizontal="center" vertical="top"/>
    </xf>
    <xf numFmtId="3" fontId="6" fillId="2" borderId="1" xfId="3" applyNumberFormat="1" applyFont="1" applyFill="1" applyBorder="1" applyAlignment="1">
      <alignment horizontal="right" vertical="top"/>
    </xf>
    <xf numFmtId="168" fontId="3" fillId="2" borderId="1" xfId="7" applyNumberFormat="1" applyFont="1" applyFill="1" applyBorder="1" applyAlignment="1">
      <alignment horizontal="center" vertical="top"/>
    </xf>
    <xf numFmtId="0" fontId="3" fillId="2" borderId="1" xfId="7" applyFont="1" applyFill="1" applyBorder="1" applyAlignment="1">
      <alignment vertical="top"/>
    </xf>
    <xf numFmtId="3" fontId="3" fillId="2" borderId="1" xfId="7" applyNumberFormat="1" applyFont="1" applyFill="1" applyBorder="1" applyAlignment="1">
      <alignment horizontal="right" vertical="top"/>
    </xf>
    <xf numFmtId="164" fontId="4" fillId="0" borderId="0" xfId="8" applyNumberFormat="1" applyFont="1"/>
    <xf numFmtId="0" fontId="3" fillId="3" borderId="1" xfId="7" applyFont="1" applyFill="1" applyBorder="1" applyAlignment="1">
      <alignment horizontal="left" vertical="top"/>
    </xf>
    <xf numFmtId="0" fontId="3" fillId="3" borderId="1" xfId="7" applyFont="1" applyFill="1" applyBorder="1" applyAlignment="1">
      <alignment horizontal="center" vertical="top"/>
    </xf>
    <xf numFmtId="0" fontId="3" fillId="3" borderId="1" xfId="7" applyFont="1" applyFill="1" applyBorder="1" applyAlignment="1">
      <alignment vertical="top"/>
    </xf>
    <xf numFmtId="14" fontId="3" fillId="3" borderId="1" xfId="7" applyNumberFormat="1" applyFont="1" applyFill="1" applyBorder="1" applyAlignment="1">
      <alignment horizontal="right" vertical="top"/>
    </xf>
    <xf numFmtId="0" fontId="3" fillId="3" borderId="1" xfId="7" applyFont="1" applyFill="1" applyBorder="1" applyAlignment="1">
      <alignment horizontal="right" vertical="top"/>
    </xf>
    <xf numFmtId="0" fontId="5" fillId="0" borderId="0" xfId="2" applyFont="1"/>
    <xf numFmtId="0" fontId="5" fillId="0" borderId="0" xfId="2" applyFont="1" applyAlignment="1">
      <alignment horizontal="right"/>
    </xf>
    <xf numFmtId="3" fontId="5" fillId="0" borderId="0" xfId="2" applyNumberFormat="1" applyFont="1"/>
    <xf numFmtId="168" fontId="4" fillId="0" borderId="0" xfId="7" applyNumberFormat="1" applyFont="1" applyAlignment="1">
      <alignment horizontal="right"/>
    </xf>
    <xf numFmtId="3" fontId="4" fillId="0" borderId="0" xfId="8" applyNumberFormat="1" applyFont="1"/>
    <xf numFmtId="0" fontId="4" fillId="0" borderId="0" xfId="7" applyFont="1"/>
    <xf numFmtId="0" fontId="4" fillId="0" borderId="0" xfId="7" applyFont="1" applyAlignment="1" applyProtection="1">
      <alignment horizontal="center"/>
      <protection locked="0"/>
    </xf>
    <xf numFmtId="14" fontId="4" fillId="0" borderId="0" xfId="8" applyNumberFormat="1" applyFont="1"/>
    <xf numFmtId="3" fontId="5" fillId="0" borderId="0" xfId="3" applyNumberFormat="1" applyFont="1"/>
    <xf numFmtId="169" fontId="0" fillId="0" borderId="0" xfId="6" applyNumberFormat="1" applyFont="1"/>
  </cellXfs>
  <cellStyles count="9">
    <cellStyle name="Comma" xfId="5" builtinId="3"/>
    <cellStyle name="Comma 2" xfId="3" xr:uid="{00000000-0005-0000-0000-000001000000}"/>
    <cellStyle name="Comma 4" xfId="8" xr:uid="{D60D3D6A-35A8-4D58-A186-AFCF4EB10267}"/>
    <cellStyle name="Currency" xfId="1" builtinId="4"/>
    <cellStyle name="Normal" xfId="0" builtinId="0"/>
    <cellStyle name="Normal 2" xfId="2" xr:uid="{00000000-0005-0000-0000-000004000000}"/>
    <cellStyle name="Normal 5" xfId="7" xr:uid="{CE069EA9-A203-4DA5-92A9-B918D4925953}"/>
    <cellStyle name="Percent" xfId="6" builtinId="5"/>
    <cellStyle name="Percent 2" xfId="4" xr:uid="{00000000-0005-0000-0000-000006000000}"/>
  </cellStyles>
  <dxfs count="0"/>
  <tableStyles count="1" defaultTableStyle="TableStyleMedium2" defaultPivotStyle="PivotStyleLight16">
    <tableStyle name="Invisible" pivot="0" table="0" count="0" xr9:uid="{52F0DF98-9D78-4028-B8C4-32994390DA34}"/>
  </tableStyles>
  <colors>
    <mruColors>
      <color rgb="FF66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6"/>
  <sheetViews>
    <sheetView zoomScale="200" zoomScaleNormal="200" workbookViewId="0">
      <selection activeCell="B2" sqref="B2"/>
    </sheetView>
  </sheetViews>
  <sheetFormatPr defaultColWidth="8.88671875" defaultRowHeight="14.4" x14ac:dyDescent="0.3"/>
  <cols>
    <col min="1" max="1" width="9.44140625" customWidth="1"/>
    <col min="8" max="8" width="11.109375" customWidth="1"/>
  </cols>
  <sheetData>
    <row r="1" spans="1:9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9</v>
      </c>
      <c r="I1" s="1" t="s">
        <v>10</v>
      </c>
    </row>
    <row r="2" spans="1:9" x14ac:dyDescent="0.3">
      <c r="A2" t="s">
        <v>6</v>
      </c>
      <c r="B2">
        <v>120</v>
      </c>
      <c r="C2">
        <v>170</v>
      </c>
      <c r="D2">
        <v>220</v>
      </c>
      <c r="E2">
        <v>260</v>
      </c>
      <c r="F2">
        <v>335</v>
      </c>
      <c r="G2">
        <v>420</v>
      </c>
    </row>
    <row r="3" spans="1:9" x14ac:dyDescent="0.3">
      <c r="A3" t="s">
        <v>7</v>
      </c>
      <c r="B3">
        <v>100</v>
      </c>
      <c r="C3">
        <v>140</v>
      </c>
      <c r="D3">
        <v>170</v>
      </c>
      <c r="E3">
        <v>200</v>
      </c>
      <c r="F3">
        <v>260</v>
      </c>
      <c r="G3">
        <v>340</v>
      </c>
    </row>
    <row r="4" spans="1:9" x14ac:dyDescent="0.3">
      <c r="A4" t="s">
        <v>8</v>
      </c>
    </row>
    <row r="6" spans="1:9" x14ac:dyDescent="0.3">
      <c r="A6" t="s">
        <v>849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I5"/>
  <sheetViews>
    <sheetView zoomScale="205" zoomScaleNormal="205" workbookViewId="0">
      <selection activeCell="E2" sqref="E2"/>
    </sheetView>
  </sheetViews>
  <sheetFormatPr defaultColWidth="8.88671875" defaultRowHeight="14.4" x14ac:dyDescent="0.3"/>
  <cols>
    <col min="9" max="9" width="8" customWidth="1"/>
  </cols>
  <sheetData>
    <row r="1" spans="1:9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9</v>
      </c>
      <c r="I1" s="1" t="s">
        <v>10</v>
      </c>
    </row>
    <row r="2" spans="1:9" x14ac:dyDescent="0.3">
      <c r="A2" t="s">
        <v>6</v>
      </c>
      <c r="B2">
        <v>120</v>
      </c>
      <c r="C2">
        <v>170</v>
      </c>
      <c r="D2">
        <v>220</v>
      </c>
      <c r="E2">
        <v>260</v>
      </c>
      <c r="F2">
        <v>335</v>
      </c>
      <c r="G2">
        <v>420</v>
      </c>
      <c r="H2">
        <f>SUM(B2:G2)</f>
        <v>1525</v>
      </c>
      <c r="I2" s="15">
        <f>H2/6</f>
        <v>254.16666666666666</v>
      </c>
    </row>
    <row r="3" spans="1:9" x14ac:dyDescent="0.3">
      <c r="A3" t="s">
        <v>7</v>
      </c>
      <c r="B3">
        <v>100</v>
      </c>
      <c r="C3">
        <v>140</v>
      </c>
      <c r="D3">
        <v>170</v>
      </c>
      <c r="E3">
        <v>200</v>
      </c>
      <c r="F3">
        <v>260</v>
      </c>
      <c r="G3">
        <v>330</v>
      </c>
      <c r="I3" s="15"/>
    </row>
    <row r="4" spans="1:9" x14ac:dyDescent="0.3">
      <c r="A4" t="s">
        <v>8</v>
      </c>
      <c r="B4">
        <f t="shared" ref="B4" si="0">B2-B3</f>
        <v>20</v>
      </c>
      <c r="I4" s="15"/>
    </row>
    <row r="5" spans="1:9" x14ac:dyDescent="0.3">
      <c r="C5" s="58"/>
      <c r="D5" s="58"/>
      <c r="E5" s="58"/>
      <c r="F5" s="58"/>
      <c r="G5" s="5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I11"/>
  <sheetViews>
    <sheetView zoomScale="175" zoomScaleNormal="175" workbookViewId="0">
      <selection activeCell="A6" sqref="A6"/>
    </sheetView>
  </sheetViews>
  <sheetFormatPr defaultColWidth="8.88671875" defaultRowHeight="14.4" x14ac:dyDescent="0.3"/>
  <cols>
    <col min="1" max="1" width="11" customWidth="1"/>
    <col min="2" max="2" width="9" customWidth="1"/>
    <col min="9" max="9" width="9.6640625" customWidth="1"/>
  </cols>
  <sheetData>
    <row r="1" spans="1:9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9</v>
      </c>
      <c r="I1" s="1" t="s">
        <v>10</v>
      </c>
    </row>
    <row r="2" spans="1:9" x14ac:dyDescent="0.3">
      <c r="A2" t="s">
        <v>6</v>
      </c>
      <c r="B2">
        <v>120</v>
      </c>
      <c r="C2">
        <v>160</v>
      </c>
      <c r="D2">
        <v>210</v>
      </c>
      <c r="E2">
        <v>250</v>
      </c>
      <c r="F2">
        <v>325</v>
      </c>
      <c r="G2">
        <v>440</v>
      </c>
      <c r="H2">
        <f t="shared" ref="H2:H4" si="0">SUM(B2:G2)</f>
        <v>1505</v>
      </c>
      <c r="I2" s="15">
        <f>H2/6</f>
        <v>250.83333333333334</v>
      </c>
    </row>
    <row r="3" spans="1:9" x14ac:dyDescent="0.3">
      <c r="A3" t="s">
        <v>7</v>
      </c>
      <c r="B3">
        <v>100</v>
      </c>
      <c r="C3">
        <v>130</v>
      </c>
      <c r="D3">
        <v>160</v>
      </c>
      <c r="E3">
        <v>200</v>
      </c>
      <c r="F3">
        <v>260</v>
      </c>
      <c r="G3">
        <v>360</v>
      </c>
      <c r="H3">
        <f t="shared" si="0"/>
        <v>1210</v>
      </c>
      <c r="I3" s="15">
        <f t="shared" ref="I3:I4" si="1">H3/6</f>
        <v>201.66666666666666</v>
      </c>
    </row>
    <row r="4" spans="1:9" x14ac:dyDescent="0.3">
      <c r="A4" t="s">
        <v>8</v>
      </c>
      <c r="B4">
        <f t="shared" ref="B4:G4" si="2">B2-B3</f>
        <v>20</v>
      </c>
      <c r="C4">
        <f t="shared" si="2"/>
        <v>30</v>
      </c>
      <c r="D4">
        <f t="shared" si="2"/>
        <v>50</v>
      </c>
      <c r="E4">
        <f t="shared" si="2"/>
        <v>50</v>
      </c>
      <c r="F4">
        <f t="shared" si="2"/>
        <v>65</v>
      </c>
      <c r="G4">
        <f t="shared" si="2"/>
        <v>80</v>
      </c>
      <c r="H4">
        <f t="shared" si="0"/>
        <v>295</v>
      </c>
      <c r="I4" s="15">
        <f t="shared" si="1"/>
        <v>49.166666666666664</v>
      </c>
    </row>
    <row r="5" spans="1:9" x14ac:dyDescent="0.3">
      <c r="A5" t="s">
        <v>11</v>
      </c>
    </row>
    <row r="6" spans="1:9" x14ac:dyDescent="0.3">
      <c r="A6" t="s">
        <v>47</v>
      </c>
      <c r="C6" s="16"/>
      <c r="D6" s="16"/>
      <c r="E6" s="16"/>
      <c r="F6" s="16"/>
      <c r="G6" s="16"/>
    </row>
    <row r="8" spans="1:9" x14ac:dyDescent="0.3">
      <c r="A8" t="s">
        <v>48</v>
      </c>
    </row>
    <row r="9" spans="1:9" x14ac:dyDescent="0.3">
      <c r="A9" t="s">
        <v>49</v>
      </c>
    </row>
    <row r="10" spans="1:9" x14ac:dyDescent="0.3">
      <c r="A10" t="s">
        <v>50</v>
      </c>
    </row>
    <row r="11" spans="1:9" x14ac:dyDescent="0.3">
      <c r="A11" t="s">
        <v>51</v>
      </c>
    </row>
  </sheetData>
  <pageMargins left="0.7" right="0.7" top="0.75" bottom="0.75" header="0.3" footer="0.3"/>
  <pageSetup paperSize="166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H13"/>
  <sheetViews>
    <sheetView zoomScale="160" zoomScaleNormal="160" workbookViewId="0">
      <selection activeCell="B10" sqref="B10"/>
    </sheetView>
  </sheetViews>
  <sheetFormatPr defaultColWidth="8.88671875" defaultRowHeight="14.4" x14ac:dyDescent="0.3"/>
  <cols>
    <col min="1" max="1" width="17.109375" bestFit="1" customWidth="1"/>
    <col min="2" max="2" width="14.44140625" bestFit="1" customWidth="1"/>
    <col min="3" max="3" width="10.88671875" customWidth="1"/>
    <col min="4" max="4" width="5.88671875" bestFit="1" customWidth="1"/>
    <col min="5" max="5" width="8.44140625" bestFit="1" customWidth="1"/>
    <col min="6" max="6" width="12.109375" bestFit="1" customWidth="1"/>
    <col min="8" max="8" width="6" bestFit="1" customWidth="1"/>
  </cols>
  <sheetData>
    <row r="1" spans="1:8" x14ac:dyDescent="0.3">
      <c r="A1" s="2" t="s">
        <v>12</v>
      </c>
      <c r="B1" s="3" t="s">
        <v>13</v>
      </c>
      <c r="C1" s="4" t="s">
        <v>14</v>
      </c>
      <c r="D1" s="5" t="s">
        <v>15</v>
      </c>
      <c r="E1" s="6" t="s">
        <v>16</v>
      </c>
      <c r="F1" s="7" t="s">
        <v>17</v>
      </c>
      <c r="G1" s="8"/>
      <c r="H1" s="14">
        <v>2.1000000000000001E-2</v>
      </c>
    </row>
    <row r="2" spans="1:8" x14ac:dyDescent="0.3">
      <c r="A2" s="8" t="s">
        <v>18</v>
      </c>
      <c r="B2" s="8" t="s">
        <v>6</v>
      </c>
      <c r="C2" s="9">
        <v>36475</v>
      </c>
      <c r="D2" s="10">
        <f t="shared" ref="D2:D13" ca="1" si="0">DATEDIF(C2,TODAY(),"Y")</f>
        <v>26</v>
      </c>
      <c r="E2" s="11">
        <v>54550</v>
      </c>
      <c r="F2" s="12"/>
      <c r="G2" s="13"/>
      <c r="H2" s="8"/>
    </row>
    <row r="3" spans="1:8" x14ac:dyDescent="0.3">
      <c r="A3" s="8" t="s">
        <v>55</v>
      </c>
      <c r="B3" s="8" t="s">
        <v>6</v>
      </c>
      <c r="C3" s="9">
        <v>40776</v>
      </c>
      <c r="D3" s="10">
        <f t="shared" ca="1" si="0"/>
        <v>14</v>
      </c>
      <c r="E3" s="11">
        <v>86795</v>
      </c>
      <c r="F3" s="12"/>
      <c r="G3" s="13"/>
      <c r="H3" s="8"/>
    </row>
    <row r="4" spans="1:8" x14ac:dyDescent="0.3">
      <c r="A4" s="8" t="s">
        <v>20</v>
      </c>
      <c r="B4" s="8" t="s">
        <v>29</v>
      </c>
      <c r="C4" s="9">
        <v>39269</v>
      </c>
      <c r="D4" s="10">
        <f t="shared" ca="1" si="0"/>
        <v>18</v>
      </c>
      <c r="E4" s="11">
        <v>42540</v>
      </c>
      <c r="F4" s="12"/>
      <c r="G4" s="8"/>
      <c r="H4" s="8"/>
    </row>
    <row r="5" spans="1:8" x14ac:dyDescent="0.3">
      <c r="A5" s="8" t="s">
        <v>54</v>
      </c>
      <c r="B5" s="8" t="s">
        <v>19</v>
      </c>
      <c r="C5" s="9">
        <v>39447</v>
      </c>
      <c r="D5" s="10">
        <f t="shared" ca="1" si="0"/>
        <v>17</v>
      </c>
      <c r="E5" s="11">
        <v>92830</v>
      </c>
      <c r="F5" s="12"/>
      <c r="G5" s="13"/>
      <c r="H5" s="8"/>
    </row>
    <row r="6" spans="1:8" x14ac:dyDescent="0.3">
      <c r="A6" s="8" t="s">
        <v>21</v>
      </c>
      <c r="B6" s="8" t="s">
        <v>6</v>
      </c>
      <c r="C6" s="9">
        <v>38963</v>
      </c>
      <c r="D6" s="10">
        <f t="shared" ca="1" si="0"/>
        <v>19</v>
      </c>
      <c r="E6" s="11">
        <v>60830</v>
      </c>
      <c r="F6" s="12"/>
      <c r="G6" s="13"/>
      <c r="H6" s="8"/>
    </row>
    <row r="7" spans="1:8" x14ac:dyDescent="0.3">
      <c r="A7" s="8" t="s">
        <v>53</v>
      </c>
      <c r="B7" s="8" t="s">
        <v>28</v>
      </c>
      <c r="C7" s="9">
        <v>39189</v>
      </c>
      <c r="D7" s="10">
        <f t="shared" ca="1" si="0"/>
        <v>18</v>
      </c>
      <c r="E7" s="11">
        <v>66580</v>
      </c>
      <c r="F7" s="12"/>
      <c r="G7" s="13"/>
      <c r="H7" s="8"/>
    </row>
    <row r="8" spans="1:8" x14ac:dyDescent="0.3">
      <c r="A8" s="8" t="s">
        <v>23</v>
      </c>
      <c r="B8" s="8" t="s">
        <v>22</v>
      </c>
      <c r="C8" s="9">
        <v>36260</v>
      </c>
      <c r="D8" s="10">
        <f t="shared" ca="1" si="0"/>
        <v>26</v>
      </c>
      <c r="E8" s="11">
        <v>75150</v>
      </c>
      <c r="F8" s="12"/>
      <c r="G8" s="8"/>
      <c r="H8" s="8"/>
    </row>
    <row r="9" spans="1:8" x14ac:dyDescent="0.3">
      <c r="A9" s="8" t="s">
        <v>24</v>
      </c>
      <c r="B9" s="8" t="s">
        <v>6</v>
      </c>
      <c r="C9" s="9">
        <v>37404</v>
      </c>
      <c r="D9" s="10">
        <f t="shared" ca="1" si="0"/>
        <v>23</v>
      </c>
      <c r="E9" s="11">
        <v>30780</v>
      </c>
      <c r="F9" s="12"/>
      <c r="G9" s="8"/>
      <c r="H9" s="8"/>
    </row>
    <row r="10" spans="1:8" x14ac:dyDescent="0.3">
      <c r="A10" s="8" t="s">
        <v>25</v>
      </c>
      <c r="B10" s="8" t="s">
        <v>22</v>
      </c>
      <c r="C10" s="9">
        <v>38142</v>
      </c>
      <c r="D10" s="10">
        <f t="shared" ca="1" si="0"/>
        <v>21</v>
      </c>
      <c r="E10" s="11">
        <v>49350</v>
      </c>
      <c r="F10" s="12"/>
      <c r="G10" s="13"/>
      <c r="H10" s="8"/>
    </row>
    <row r="11" spans="1:8" x14ac:dyDescent="0.3">
      <c r="A11" s="8" t="s">
        <v>56</v>
      </c>
      <c r="B11" s="8" t="s">
        <v>28</v>
      </c>
      <c r="C11" s="9">
        <v>40923</v>
      </c>
      <c r="D11" s="10">
        <f t="shared" ca="1" si="0"/>
        <v>13</v>
      </c>
      <c r="E11" s="11">
        <v>89760</v>
      </c>
      <c r="F11" s="12"/>
      <c r="G11" s="8"/>
      <c r="H11" s="8"/>
    </row>
    <row r="12" spans="1:8" x14ac:dyDescent="0.3">
      <c r="A12" s="8" t="s">
        <v>26</v>
      </c>
      <c r="B12" s="8" t="s">
        <v>29</v>
      </c>
      <c r="C12" s="9">
        <v>36764</v>
      </c>
      <c r="D12" s="10">
        <f t="shared" ca="1" si="0"/>
        <v>25</v>
      </c>
      <c r="E12" s="11">
        <v>74840</v>
      </c>
      <c r="F12" s="12"/>
      <c r="G12" s="8"/>
      <c r="H12" s="8"/>
    </row>
    <row r="13" spans="1:8" x14ac:dyDescent="0.3">
      <c r="A13" s="8" t="s">
        <v>27</v>
      </c>
      <c r="B13" s="8" t="s">
        <v>22</v>
      </c>
      <c r="C13" s="9">
        <v>40787</v>
      </c>
      <c r="D13" s="10">
        <f t="shared" ca="1" si="0"/>
        <v>14</v>
      </c>
      <c r="E13" s="11">
        <v>49070</v>
      </c>
      <c r="F13" s="12"/>
      <c r="G13" s="13"/>
      <c r="H13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FFFF"/>
  </sheetPr>
  <dimension ref="A1:J13"/>
  <sheetViews>
    <sheetView zoomScale="160" zoomScaleNormal="160" workbookViewId="0">
      <selection activeCell="B10" sqref="B10:H10"/>
    </sheetView>
  </sheetViews>
  <sheetFormatPr defaultColWidth="9" defaultRowHeight="14.4" x14ac:dyDescent="0.3"/>
  <cols>
    <col min="1" max="1" width="13" bestFit="1" customWidth="1"/>
    <col min="2" max="2" width="9.44140625" customWidth="1"/>
    <col min="3" max="6" width="8.44140625" customWidth="1"/>
    <col min="7" max="7" width="10" customWidth="1"/>
    <col min="8" max="8" width="6.6640625" customWidth="1"/>
    <col min="10" max="10" width="8.33203125" customWidth="1"/>
    <col min="11" max="16" width="3" bestFit="1" customWidth="1"/>
  </cols>
  <sheetData>
    <row r="1" spans="1:10" x14ac:dyDescent="0.3">
      <c r="A1" s="17"/>
      <c r="B1" s="18" t="s">
        <v>30</v>
      </c>
      <c r="C1" s="18" t="s">
        <v>31</v>
      </c>
      <c r="D1" s="18" t="s">
        <v>32</v>
      </c>
      <c r="E1" s="18" t="s">
        <v>33</v>
      </c>
      <c r="F1" s="18" t="s">
        <v>34</v>
      </c>
      <c r="G1" s="18" t="s">
        <v>9</v>
      </c>
      <c r="J1" s="18" t="s">
        <v>6</v>
      </c>
    </row>
    <row r="2" spans="1:10" x14ac:dyDescent="0.3">
      <c r="A2" s="19" t="s">
        <v>35</v>
      </c>
      <c r="B2" s="17">
        <v>83</v>
      </c>
      <c r="C2" s="17">
        <v>107</v>
      </c>
      <c r="D2" s="17">
        <v>123</v>
      </c>
      <c r="E2" s="17">
        <v>134</v>
      </c>
      <c r="F2" s="17">
        <v>157</v>
      </c>
      <c r="G2" s="17"/>
      <c r="J2">
        <v>120</v>
      </c>
    </row>
    <row r="3" spans="1:10" x14ac:dyDescent="0.3">
      <c r="A3" s="19"/>
      <c r="B3" s="17"/>
      <c r="C3" s="17"/>
      <c r="D3" s="17"/>
      <c r="E3" s="17"/>
      <c r="F3" s="17"/>
      <c r="G3" s="17"/>
      <c r="J3">
        <v>170</v>
      </c>
    </row>
    <row r="4" spans="1:10" x14ac:dyDescent="0.3">
      <c r="A4" s="19" t="s">
        <v>36</v>
      </c>
      <c r="B4" s="21">
        <v>5832</v>
      </c>
      <c r="C4" s="20"/>
      <c r="D4" s="17"/>
      <c r="E4" s="17"/>
      <c r="F4" s="17"/>
      <c r="G4" s="17"/>
      <c r="H4">
        <v>87</v>
      </c>
      <c r="J4">
        <v>220</v>
      </c>
    </row>
    <row r="5" spans="1:10" x14ac:dyDescent="0.3">
      <c r="A5" s="19" t="s">
        <v>37</v>
      </c>
      <c r="B5" s="21">
        <v>5698</v>
      </c>
      <c r="C5" s="20"/>
      <c r="D5" s="17"/>
      <c r="E5" s="17"/>
      <c r="F5" s="17"/>
      <c r="G5" s="17"/>
      <c r="H5">
        <v>53</v>
      </c>
      <c r="J5">
        <v>260</v>
      </c>
    </row>
    <row r="6" spans="1:10" x14ac:dyDescent="0.3">
      <c r="A6" s="19" t="s">
        <v>38</v>
      </c>
      <c r="B6" s="21">
        <v>7634</v>
      </c>
      <c r="C6" s="20"/>
      <c r="D6" s="17"/>
      <c r="E6" s="17">
        <v>24</v>
      </c>
      <c r="F6" s="17">
        <v>87</v>
      </c>
      <c r="G6" s="17">
        <v>32</v>
      </c>
      <c r="J6">
        <v>335</v>
      </c>
    </row>
    <row r="7" spans="1:10" x14ac:dyDescent="0.3">
      <c r="A7" s="19" t="s">
        <v>39</v>
      </c>
      <c r="B7" s="21">
        <v>6875</v>
      </c>
      <c r="C7" s="20"/>
      <c r="D7" s="17"/>
      <c r="E7" s="17"/>
      <c r="F7" s="17"/>
      <c r="G7" s="17"/>
      <c r="J7">
        <v>420</v>
      </c>
    </row>
    <row r="8" spans="1:10" x14ac:dyDescent="0.3">
      <c r="A8" s="19"/>
      <c r="B8" s="21"/>
      <c r="C8" s="20"/>
      <c r="D8" s="17"/>
      <c r="E8" s="17"/>
      <c r="F8" s="17"/>
      <c r="G8" s="17"/>
      <c r="J8">
        <f>SUM(J2:J7)</f>
        <v>1525</v>
      </c>
    </row>
    <row r="9" spans="1:10" x14ac:dyDescent="0.3">
      <c r="A9" s="17"/>
      <c r="B9" s="18" t="s">
        <v>0</v>
      </c>
      <c r="C9" s="18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J9" s="15">
        <f>J8/6</f>
        <v>254.16666666666666</v>
      </c>
    </row>
    <row r="10" spans="1:10" x14ac:dyDescent="0.3">
      <c r="A10" s="19" t="s">
        <v>40</v>
      </c>
      <c r="B10" s="17">
        <v>13</v>
      </c>
      <c r="C10" s="17">
        <v>18</v>
      </c>
      <c r="D10" s="17">
        <v>17</v>
      </c>
      <c r="E10" s="17">
        <v>18</v>
      </c>
      <c r="F10" s="17">
        <v>18</v>
      </c>
      <c r="G10" s="17">
        <v>27</v>
      </c>
    </row>
    <row r="11" spans="1:10" x14ac:dyDescent="0.3">
      <c r="A11" s="19" t="s">
        <v>41</v>
      </c>
      <c r="B11" s="17">
        <v>12</v>
      </c>
      <c r="C11" s="17">
        <v>10</v>
      </c>
      <c r="D11" s="17">
        <v>8</v>
      </c>
      <c r="E11" s="17">
        <v>17</v>
      </c>
      <c r="F11" s="17">
        <v>18</v>
      </c>
      <c r="G11" s="17">
        <v>14</v>
      </c>
    </row>
    <row r="12" spans="1:10" x14ac:dyDescent="0.3">
      <c r="A12" s="19" t="s">
        <v>42</v>
      </c>
      <c r="B12" s="17">
        <v>16</v>
      </c>
      <c r="C12" s="17">
        <v>20</v>
      </c>
      <c r="D12" s="17">
        <v>18</v>
      </c>
      <c r="E12" s="17">
        <v>15</v>
      </c>
      <c r="F12" s="17">
        <v>17</v>
      </c>
      <c r="G12" s="17">
        <v>19</v>
      </c>
    </row>
    <row r="13" spans="1:10" x14ac:dyDescent="0.3">
      <c r="A13" s="19" t="s">
        <v>43</v>
      </c>
      <c r="B13" s="17">
        <v>7</v>
      </c>
      <c r="C13" s="17">
        <v>11</v>
      </c>
      <c r="D13" s="17">
        <v>12</v>
      </c>
      <c r="E13" s="17">
        <v>14</v>
      </c>
      <c r="F13" s="17">
        <v>14</v>
      </c>
      <c r="G13" s="17"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Q16"/>
  <sheetViews>
    <sheetView zoomScale="160" zoomScaleNormal="160" workbookViewId="0">
      <selection activeCell="E11" sqref="E11"/>
    </sheetView>
  </sheetViews>
  <sheetFormatPr defaultColWidth="8.6640625" defaultRowHeight="14.4" x14ac:dyDescent="0.3"/>
  <cols>
    <col min="1" max="1" width="17.109375" bestFit="1" customWidth="1"/>
    <col min="2" max="2" width="14.44140625" bestFit="1" customWidth="1"/>
    <col min="3" max="3" width="10.44140625" style="32" bestFit="1" customWidth="1"/>
    <col min="4" max="4" width="7" bestFit="1" customWidth="1"/>
    <col min="5" max="5" width="10" bestFit="1" customWidth="1"/>
    <col min="6" max="6" width="8.44140625" customWidth="1"/>
    <col min="7" max="7" width="14.6640625" customWidth="1"/>
    <col min="8" max="8" width="11" customWidth="1"/>
    <col min="9" max="9" width="17.33203125" customWidth="1"/>
    <col min="10" max="10" width="17.109375" customWidth="1"/>
    <col min="12" max="12" width="8" customWidth="1"/>
    <col min="13" max="13" width="8.109375" customWidth="1"/>
  </cols>
  <sheetData>
    <row r="1" spans="1:17" x14ac:dyDescent="0.3">
      <c r="A1" s="22" t="s">
        <v>12</v>
      </c>
      <c r="B1" s="23" t="s">
        <v>13</v>
      </c>
      <c r="C1" s="31" t="s">
        <v>14</v>
      </c>
      <c r="D1" s="5" t="s">
        <v>15</v>
      </c>
      <c r="E1" s="34" t="s">
        <v>16</v>
      </c>
      <c r="F1" s="24"/>
      <c r="G1" s="7" t="s">
        <v>59</v>
      </c>
      <c r="Q1" s="25">
        <v>2.1000000000000001E-2</v>
      </c>
    </row>
    <row r="2" spans="1:17" x14ac:dyDescent="0.3">
      <c r="A2" s="26" t="s">
        <v>18</v>
      </c>
      <c r="B2" s="26" t="s">
        <v>6</v>
      </c>
      <c r="C2" s="32">
        <v>40479</v>
      </c>
      <c r="D2" s="10">
        <f t="shared" ref="D2:D13" ca="1" si="0">DATEDIF(C2,TODAY(),"Y")</f>
        <v>15</v>
      </c>
      <c r="E2" s="35">
        <v>74576</v>
      </c>
      <c r="F2" s="27"/>
      <c r="G2" s="28"/>
      <c r="H2" s="26" t="s">
        <v>9</v>
      </c>
      <c r="I2" s="29"/>
    </row>
    <row r="3" spans="1:17" x14ac:dyDescent="0.3">
      <c r="A3" s="26" t="s">
        <v>55</v>
      </c>
      <c r="B3" s="26" t="s">
        <v>6</v>
      </c>
      <c r="C3" s="32">
        <v>44780</v>
      </c>
      <c r="D3" s="10">
        <f t="shared" ca="1" si="0"/>
        <v>3</v>
      </c>
      <c r="E3" s="35">
        <v>118659</v>
      </c>
      <c r="F3" s="27"/>
      <c r="G3" s="28"/>
      <c r="H3" s="26" t="s">
        <v>10</v>
      </c>
      <c r="I3" s="29"/>
    </row>
    <row r="4" spans="1:17" x14ac:dyDescent="0.3">
      <c r="A4" s="26" t="s">
        <v>20</v>
      </c>
      <c r="B4" s="26" t="s">
        <v>29</v>
      </c>
      <c r="C4" s="32">
        <v>43273</v>
      </c>
      <c r="D4" s="10">
        <f t="shared" ca="1" si="0"/>
        <v>7</v>
      </c>
      <c r="E4" s="35">
        <v>58157</v>
      </c>
      <c r="F4" s="27"/>
      <c r="G4" s="28"/>
      <c r="H4" s="26" t="s">
        <v>44</v>
      </c>
      <c r="I4" s="29"/>
    </row>
    <row r="5" spans="1:17" x14ac:dyDescent="0.3">
      <c r="A5" s="26" t="s">
        <v>54</v>
      </c>
      <c r="B5" s="26" t="s">
        <v>19</v>
      </c>
      <c r="C5" s="32">
        <v>43451</v>
      </c>
      <c r="D5" s="10">
        <f t="shared" ca="1" si="0"/>
        <v>7</v>
      </c>
      <c r="E5" s="35">
        <v>126909</v>
      </c>
      <c r="F5" s="27"/>
      <c r="G5" s="28"/>
      <c r="H5" s="26"/>
      <c r="I5" s="29"/>
    </row>
    <row r="6" spans="1:17" x14ac:dyDescent="0.3">
      <c r="A6" s="26" t="s">
        <v>57</v>
      </c>
      <c r="B6" s="26" t="s">
        <v>6</v>
      </c>
      <c r="C6" s="32">
        <v>42967</v>
      </c>
      <c r="D6" s="10">
        <f t="shared" ca="1" si="0"/>
        <v>8</v>
      </c>
      <c r="E6" s="35">
        <v>83162</v>
      </c>
      <c r="F6" s="27"/>
      <c r="G6" s="28"/>
      <c r="I6" t="s">
        <v>60</v>
      </c>
    </row>
    <row r="7" spans="1:17" x14ac:dyDescent="0.3">
      <c r="A7" s="26" t="s">
        <v>53</v>
      </c>
      <c r="B7" s="26" t="s">
        <v>28</v>
      </c>
      <c r="C7" s="32">
        <v>43193</v>
      </c>
      <c r="D7" s="10">
        <f t="shared" ca="1" si="0"/>
        <v>7</v>
      </c>
      <c r="E7" s="35">
        <v>91023</v>
      </c>
      <c r="F7" s="27"/>
      <c r="G7" s="28"/>
      <c r="I7" t="s">
        <v>52</v>
      </c>
      <c r="L7" s="30"/>
      <c r="M7" s="30"/>
    </row>
    <row r="8" spans="1:17" x14ac:dyDescent="0.3">
      <c r="A8" s="26" t="s">
        <v>23</v>
      </c>
      <c r="B8" s="26" t="s">
        <v>22</v>
      </c>
      <c r="C8" s="32">
        <v>40264</v>
      </c>
      <c r="D8" s="10">
        <f t="shared" ca="1" si="0"/>
        <v>15</v>
      </c>
      <c r="E8" s="35">
        <v>102739</v>
      </c>
      <c r="F8" s="27"/>
      <c r="G8" s="28"/>
      <c r="I8" t="s">
        <v>45</v>
      </c>
    </row>
    <row r="9" spans="1:17" x14ac:dyDescent="0.3">
      <c r="A9" s="26" t="s">
        <v>24</v>
      </c>
      <c r="B9" s="26" t="s">
        <v>6</v>
      </c>
      <c r="C9" s="32">
        <v>41408</v>
      </c>
      <c r="D9" s="10">
        <f t="shared" ca="1" si="0"/>
        <v>12</v>
      </c>
      <c r="E9" s="35">
        <v>42080</v>
      </c>
      <c r="F9" s="27"/>
      <c r="G9" s="28"/>
      <c r="I9" t="s">
        <v>61</v>
      </c>
    </row>
    <row r="10" spans="1:17" x14ac:dyDescent="0.3">
      <c r="A10" s="26" t="s">
        <v>58</v>
      </c>
      <c r="B10" s="26" t="s">
        <v>22</v>
      </c>
      <c r="C10" s="32">
        <v>42146</v>
      </c>
      <c r="D10" s="10">
        <f t="shared" ca="1" si="0"/>
        <v>10</v>
      </c>
      <c r="E10" s="35">
        <v>67467</v>
      </c>
      <c r="F10" s="27"/>
      <c r="G10" s="28"/>
      <c r="H10" s="26"/>
      <c r="I10" t="s">
        <v>46</v>
      </c>
    </row>
    <row r="11" spans="1:17" x14ac:dyDescent="0.3">
      <c r="A11" s="26" t="s">
        <v>56</v>
      </c>
      <c r="B11" s="26" t="s">
        <v>28</v>
      </c>
      <c r="C11" s="32">
        <v>44835</v>
      </c>
      <c r="D11" s="10">
        <f t="shared" ca="1" si="0"/>
        <v>3</v>
      </c>
      <c r="E11" s="35">
        <v>122712</v>
      </c>
      <c r="F11" s="27"/>
      <c r="G11" s="28"/>
      <c r="H11" s="26"/>
      <c r="I11" s="29"/>
    </row>
    <row r="12" spans="1:17" x14ac:dyDescent="0.3">
      <c r="A12" s="26" t="s">
        <v>26</v>
      </c>
      <c r="B12" s="26" t="s">
        <v>29</v>
      </c>
      <c r="C12" s="32">
        <v>40768</v>
      </c>
      <c r="D12" s="10">
        <f t="shared" ca="1" si="0"/>
        <v>14</v>
      </c>
      <c r="E12" s="35">
        <v>102315</v>
      </c>
      <c r="F12" s="27"/>
      <c r="G12" s="28"/>
      <c r="H12" s="26"/>
      <c r="I12" s="29"/>
    </row>
    <row r="13" spans="1:17" x14ac:dyDescent="0.3">
      <c r="A13" s="26" t="s">
        <v>27</v>
      </c>
      <c r="B13" s="26" t="s">
        <v>22</v>
      </c>
      <c r="C13" s="32">
        <v>44791</v>
      </c>
      <c r="D13" s="10">
        <f t="shared" ca="1" si="0"/>
        <v>3</v>
      </c>
      <c r="E13" s="35">
        <v>67085</v>
      </c>
      <c r="F13" s="27"/>
      <c r="G13" s="28"/>
      <c r="H13" s="26"/>
      <c r="I13" s="29"/>
    </row>
    <row r="14" spans="1:17" x14ac:dyDescent="0.3">
      <c r="E14" s="29"/>
    </row>
    <row r="16" spans="1:17" x14ac:dyDescent="0.3">
      <c r="C16" s="3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6AEC-9628-4CB4-BD8B-2C235350FD0F}">
  <sheetPr>
    <tabColor rgb="FFFFFF00"/>
  </sheetPr>
  <dimension ref="A1:M720"/>
  <sheetViews>
    <sheetView tabSelected="1" zoomScale="110" zoomScaleNormal="110" workbookViewId="0">
      <selection activeCell="I1" sqref="I1:K1048576"/>
    </sheetView>
  </sheetViews>
  <sheetFormatPr defaultColWidth="8.6640625" defaultRowHeight="14.4" x14ac:dyDescent="0.3"/>
  <cols>
    <col min="1" max="1" width="16.109375" style="49" customWidth="1"/>
    <col min="2" max="2" width="15.6640625" style="49" customWidth="1"/>
    <col min="3" max="3" width="6" style="49" bestFit="1" customWidth="1"/>
    <col min="4" max="4" width="10.6640625" style="57" customWidth="1"/>
    <col min="5" max="5" width="16.5546875" customWidth="1"/>
    <col min="6" max="6" width="7.33203125" bestFit="1" customWidth="1"/>
    <col min="7" max="7" width="7.109375" bestFit="1" customWidth="1"/>
    <col min="8" max="8" width="8.33203125" bestFit="1" customWidth="1"/>
    <col min="9" max="9" width="15" customWidth="1"/>
    <col min="10" max="10" width="7.33203125" bestFit="1" customWidth="1"/>
    <col min="11" max="11" width="23.6640625" bestFit="1" customWidth="1"/>
    <col min="12" max="12" width="10.109375" bestFit="1" customWidth="1"/>
    <col min="13" max="13" width="5" bestFit="1" customWidth="1"/>
  </cols>
  <sheetData>
    <row r="1" spans="1:13" x14ac:dyDescent="0.3">
      <c r="A1" s="36" t="s">
        <v>12</v>
      </c>
      <c r="B1" s="37" t="s">
        <v>13</v>
      </c>
      <c r="C1" s="38" t="s">
        <v>62</v>
      </c>
      <c r="D1" s="39" t="s">
        <v>63</v>
      </c>
      <c r="E1" s="40" t="s">
        <v>64</v>
      </c>
      <c r="F1" s="41" t="s">
        <v>65</v>
      </c>
      <c r="G1" s="42" t="s">
        <v>63</v>
      </c>
      <c r="H1" s="41" t="s">
        <v>66</v>
      </c>
      <c r="I1" s="44" t="s">
        <v>12</v>
      </c>
      <c r="J1" s="45" t="s">
        <v>67</v>
      </c>
      <c r="K1" s="46" t="s">
        <v>13</v>
      </c>
      <c r="L1" s="47" t="s">
        <v>14</v>
      </c>
      <c r="M1" s="48" t="s">
        <v>15</v>
      </c>
    </row>
    <row r="2" spans="1:13" x14ac:dyDescent="0.3">
      <c r="A2" s="49" t="s">
        <v>68</v>
      </c>
      <c r="B2" s="49" t="s">
        <v>19</v>
      </c>
      <c r="C2" s="50">
        <v>27961</v>
      </c>
      <c r="D2" s="51">
        <v>55245</v>
      </c>
      <c r="E2" s="52">
        <v>9707461285</v>
      </c>
      <c r="F2" s="43" t="s">
        <v>69</v>
      </c>
      <c r="G2" s="53">
        <v>71493</v>
      </c>
      <c r="H2" s="54" t="s">
        <v>70</v>
      </c>
      <c r="I2" s="54" t="s">
        <v>71</v>
      </c>
      <c r="J2" s="55" t="s">
        <v>72</v>
      </c>
      <c r="K2" s="54" t="s">
        <v>73</v>
      </c>
      <c r="L2" s="56">
        <f>42394+(6*364)</f>
        <v>44578</v>
      </c>
      <c r="M2" s="43">
        <f t="shared" ref="M2:M65" ca="1" si="0">DATEDIF(L2,TODAY(),"Y")</f>
        <v>3</v>
      </c>
    </row>
    <row r="3" spans="1:13" x14ac:dyDescent="0.3">
      <c r="A3" s="49" t="s">
        <v>74</v>
      </c>
      <c r="B3" s="49" t="s">
        <v>19</v>
      </c>
      <c r="C3" s="50">
        <v>44761</v>
      </c>
      <c r="D3" s="51">
        <v>68524</v>
      </c>
      <c r="E3" s="52">
        <v>5051163627</v>
      </c>
      <c r="F3" s="43" t="s">
        <v>75</v>
      </c>
      <c r="G3" s="53">
        <v>74406</v>
      </c>
      <c r="H3" s="54" t="s">
        <v>76</v>
      </c>
      <c r="I3" s="54" t="s">
        <v>77</v>
      </c>
      <c r="J3" s="55" t="s">
        <v>78</v>
      </c>
      <c r="K3" s="54" t="s">
        <v>79</v>
      </c>
      <c r="L3" s="56">
        <f>38117+(6*364)</f>
        <v>40301</v>
      </c>
      <c r="M3" s="43">
        <f t="shared" ca="1" si="0"/>
        <v>15</v>
      </c>
    </row>
    <row r="4" spans="1:13" x14ac:dyDescent="0.3">
      <c r="A4" s="49" t="s">
        <v>80</v>
      </c>
      <c r="B4" s="49" t="s">
        <v>19</v>
      </c>
      <c r="C4" s="50">
        <v>80742</v>
      </c>
      <c r="D4" s="51">
        <v>112605</v>
      </c>
      <c r="E4" s="52">
        <v>3034919822</v>
      </c>
      <c r="F4" s="43" t="s">
        <v>81</v>
      </c>
      <c r="G4" s="53">
        <v>52196</v>
      </c>
      <c r="H4" s="54" t="s">
        <v>76</v>
      </c>
      <c r="I4" s="54" t="s">
        <v>82</v>
      </c>
      <c r="J4" s="55" t="s">
        <v>83</v>
      </c>
      <c r="K4" s="54" t="s">
        <v>84</v>
      </c>
      <c r="L4" s="56">
        <f>38221+(6*364)</f>
        <v>40405</v>
      </c>
      <c r="M4" s="43">
        <f t="shared" ca="1" si="0"/>
        <v>15</v>
      </c>
    </row>
    <row r="5" spans="1:13" x14ac:dyDescent="0.3">
      <c r="A5" s="49" t="s">
        <v>85</v>
      </c>
      <c r="B5" s="49" t="s">
        <v>19</v>
      </c>
      <c r="C5" s="50">
        <v>93943</v>
      </c>
      <c r="D5" s="51">
        <v>60147</v>
      </c>
      <c r="E5" s="52">
        <v>7196052545</v>
      </c>
      <c r="F5" s="43"/>
      <c r="G5" s="53">
        <v>82380</v>
      </c>
      <c r="H5" s="54" t="s">
        <v>86</v>
      </c>
      <c r="I5" s="54" t="s">
        <v>87</v>
      </c>
      <c r="J5" s="55" t="s">
        <v>88</v>
      </c>
      <c r="K5" s="54" t="s">
        <v>89</v>
      </c>
      <c r="L5" s="56">
        <f>35743+(6*364)</f>
        <v>37927</v>
      </c>
      <c r="M5" s="43">
        <f t="shared" ca="1" si="0"/>
        <v>22</v>
      </c>
    </row>
    <row r="6" spans="1:13" x14ac:dyDescent="0.3">
      <c r="A6" s="49" t="s">
        <v>90</v>
      </c>
      <c r="B6" s="49" t="s">
        <v>19</v>
      </c>
      <c r="C6" s="50">
        <v>92668</v>
      </c>
      <c r="D6" s="51">
        <v>79542</v>
      </c>
      <c r="E6" s="52">
        <v>9704998145</v>
      </c>
      <c r="F6" s="43" t="s">
        <v>91</v>
      </c>
      <c r="G6" s="53">
        <v>66692</v>
      </c>
      <c r="H6" s="54" t="s">
        <v>76</v>
      </c>
      <c r="I6" s="54" t="s">
        <v>92</v>
      </c>
      <c r="J6" s="55" t="s">
        <v>88</v>
      </c>
      <c r="K6" s="54" t="s">
        <v>93</v>
      </c>
      <c r="L6" s="56">
        <f>35285+(6*364)</f>
        <v>37469</v>
      </c>
      <c r="M6" s="43">
        <f t="shared" ca="1" si="0"/>
        <v>23</v>
      </c>
    </row>
    <row r="7" spans="1:13" x14ac:dyDescent="0.3">
      <c r="A7" s="49" t="s">
        <v>94</v>
      </c>
      <c r="B7" s="49" t="s">
        <v>95</v>
      </c>
      <c r="C7" s="50">
        <v>52075</v>
      </c>
      <c r="D7" s="51">
        <v>68115</v>
      </c>
      <c r="E7" s="52">
        <v>7195227751</v>
      </c>
      <c r="F7" s="43" t="s">
        <v>69</v>
      </c>
      <c r="G7" s="53">
        <v>66123</v>
      </c>
      <c r="H7" s="54" t="s">
        <v>76</v>
      </c>
      <c r="I7" s="54" t="s">
        <v>96</v>
      </c>
      <c r="J7" s="55" t="s">
        <v>72</v>
      </c>
      <c r="K7" s="54" t="s">
        <v>89</v>
      </c>
      <c r="L7" s="56">
        <f>38242+(6*364)</f>
        <v>40426</v>
      </c>
      <c r="M7" s="43">
        <f t="shared" ca="1" si="0"/>
        <v>15</v>
      </c>
    </row>
    <row r="8" spans="1:13" x14ac:dyDescent="0.3">
      <c r="A8" s="49" t="s">
        <v>97</v>
      </c>
      <c r="B8" s="49" t="s">
        <v>95</v>
      </c>
      <c r="C8" s="50">
        <v>50264</v>
      </c>
      <c r="D8" s="51">
        <v>93021</v>
      </c>
      <c r="E8" s="52">
        <v>9707146686</v>
      </c>
      <c r="F8" s="43" t="s">
        <v>98</v>
      </c>
      <c r="G8" s="53">
        <v>80206</v>
      </c>
      <c r="H8" s="54" t="s">
        <v>70</v>
      </c>
      <c r="I8" s="54" t="s">
        <v>99</v>
      </c>
      <c r="J8" s="55" t="s">
        <v>100</v>
      </c>
      <c r="K8" s="54" t="s">
        <v>79</v>
      </c>
      <c r="L8" s="56">
        <f>38289+(6*364)</f>
        <v>40473</v>
      </c>
      <c r="M8" s="43">
        <f t="shared" ca="1" si="0"/>
        <v>15</v>
      </c>
    </row>
    <row r="9" spans="1:13" x14ac:dyDescent="0.3">
      <c r="A9" s="49" t="s">
        <v>101</v>
      </c>
      <c r="B9" s="49" t="s">
        <v>95</v>
      </c>
      <c r="C9" s="50">
        <v>26621</v>
      </c>
      <c r="D9" s="51">
        <v>122689</v>
      </c>
      <c r="E9" s="52">
        <v>7196971022</v>
      </c>
      <c r="F9" s="43" t="s">
        <v>69</v>
      </c>
      <c r="G9" s="53">
        <v>100804</v>
      </c>
      <c r="H9" s="54" t="s">
        <v>70</v>
      </c>
      <c r="I9" s="54" t="s">
        <v>102</v>
      </c>
      <c r="J9" s="55" t="s">
        <v>100</v>
      </c>
      <c r="K9" s="54" t="s">
        <v>103</v>
      </c>
      <c r="L9" s="56">
        <f>42294+(6*364)</f>
        <v>44478</v>
      </c>
      <c r="M9" s="43">
        <f t="shared" ca="1" si="0"/>
        <v>4</v>
      </c>
    </row>
    <row r="10" spans="1:13" x14ac:dyDescent="0.3">
      <c r="A10" s="49" t="s">
        <v>848</v>
      </c>
      <c r="B10" s="49" t="s">
        <v>95</v>
      </c>
      <c r="C10" s="50">
        <v>83743</v>
      </c>
      <c r="D10" s="51">
        <v>103509</v>
      </c>
      <c r="E10" s="52">
        <v>9705780571</v>
      </c>
      <c r="F10" s="43" t="s">
        <v>81</v>
      </c>
      <c r="G10" s="53">
        <v>111229</v>
      </c>
      <c r="H10" s="54" t="s">
        <v>76</v>
      </c>
      <c r="I10" s="54" t="s">
        <v>105</v>
      </c>
      <c r="J10" s="55" t="s">
        <v>78</v>
      </c>
      <c r="K10" s="54" t="s">
        <v>106</v>
      </c>
      <c r="L10" s="56">
        <f>37983+(6*364)</f>
        <v>40167</v>
      </c>
      <c r="M10" s="43">
        <f t="shared" ca="1" si="0"/>
        <v>15</v>
      </c>
    </row>
    <row r="11" spans="1:13" x14ac:dyDescent="0.3">
      <c r="A11" s="49" t="s">
        <v>107</v>
      </c>
      <c r="B11" s="49" t="s">
        <v>95</v>
      </c>
      <c r="C11" s="50">
        <v>69264</v>
      </c>
      <c r="D11" s="51">
        <v>95142</v>
      </c>
      <c r="E11" s="52">
        <v>3031534053</v>
      </c>
      <c r="F11" s="43"/>
      <c r="G11" s="53">
        <v>124005</v>
      </c>
      <c r="H11" s="54" t="s">
        <v>108</v>
      </c>
      <c r="I11" s="54" t="s">
        <v>109</v>
      </c>
      <c r="J11" s="55" t="s">
        <v>78</v>
      </c>
      <c r="K11" s="54" t="s">
        <v>89</v>
      </c>
      <c r="L11" s="56">
        <f>35644+(6*364)</f>
        <v>37828</v>
      </c>
      <c r="M11" s="43">
        <f t="shared" ca="1" si="0"/>
        <v>22</v>
      </c>
    </row>
    <row r="12" spans="1:13" x14ac:dyDescent="0.3">
      <c r="A12" s="49" t="s">
        <v>110</v>
      </c>
      <c r="B12" s="49" t="s">
        <v>95</v>
      </c>
      <c r="C12" s="50">
        <v>90458</v>
      </c>
      <c r="D12" s="51">
        <v>130752</v>
      </c>
      <c r="E12" s="52">
        <v>3031810581</v>
      </c>
      <c r="F12" s="43"/>
      <c r="G12" s="53">
        <v>26366</v>
      </c>
      <c r="H12" s="54" t="s">
        <v>86</v>
      </c>
      <c r="I12" s="54" t="s">
        <v>111</v>
      </c>
      <c r="J12" s="55" t="s">
        <v>83</v>
      </c>
      <c r="K12" s="54" t="s">
        <v>93</v>
      </c>
      <c r="L12" s="56">
        <f>42217+(6*364)</f>
        <v>44401</v>
      </c>
      <c r="M12" s="43">
        <f t="shared" ca="1" si="0"/>
        <v>4</v>
      </c>
    </row>
    <row r="13" spans="1:13" x14ac:dyDescent="0.3">
      <c r="A13" s="49" t="s">
        <v>112</v>
      </c>
      <c r="B13" s="49" t="s">
        <v>95</v>
      </c>
      <c r="C13" s="50">
        <v>97880</v>
      </c>
      <c r="D13" s="51">
        <v>111528</v>
      </c>
      <c r="E13" s="52">
        <v>9707577867</v>
      </c>
      <c r="F13" s="43"/>
      <c r="G13" s="53">
        <v>65470</v>
      </c>
      <c r="H13" s="54" t="s">
        <v>86</v>
      </c>
      <c r="I13" s="54" t="s">
        <v>113</v>
      </c>
      <c r="J13" s="55" t="s">
        <v>72</v>
      </c>
      <c r="K13" s="54" t="s">
        <v>89</v>
      </c>
      <c r="L13" s="56">
        <f>38256+(6*364)</f>
        <v>40440</v>
      </c>
      <c r="M13" s="43">
        <f t="shared" ca="1" si="0"/>
        <v>15</v>
      </c>
    </row>
    <row r="14" spans="1:13" x14ac:dyDescent="0.3">
      <c r="A14" s="49" t="s">
        <v>114</v>
      </c>
      <c r="B14" s="49" t="s">
        <v>95</v>
      </c>
      <c r="C14" s="50">
        <v>41477</v>
      </c>
      <c r="D14" s="51">
        <v>72894</v>
      </c>
      <c r="E14" s="52">
        <v>5052612740</v>
      </c>
      <c r="F14" s="43" t="s">
        <v>75</v>
      </c>
      <c r="G14" s="53">
        <v>43347</v>
      </c>
      <c r="H14" s="54" t="s">
        <v>70</v>
      </c>
      <c r="I14" s="54" t="s">
        <v>115</v>
      </c>
      <c r="J14" s="55" t="s">
        <v>78</v>
      </c>
      <c r="K14" s="54" t="s">
        <v>106</v>
      </c>
      <c r="L14" s="56">
        <f>38411+(6*364)</f>
        <v>40595</v>
      </c>
      <c r="M14" s="43">
        <f t="shared" ca="1" si="0"/>
        <v>14</v>
      </c>
    </row>
    <row r="15" spans="1:13" x14ac:dyDescent="0.3">
      <c r="A15" s="49" t="s">
        <v>116</v>
      </c>
      <c r="B15" s="49" t="s">
        <v>95</v>
      </c>
      <c r="C15" s="50">
        <v>18630</v>
      </c>
      <c r="D15" s="51">
        <v>115981</v>
      </c>
      <c r="E15" s="52">
        <v>3031765611</v>
      </c>
      <c r="F15" s="43" t="s">
        <v>91</v>
      </c>
      <c r="G15" s="53">
        <v>114735</v>
      </c>
      <c r="H15" s="54" t="s">
        <v>70</v>
      </c>
      <c r="I15" s="54" t="s">
        <v>117</v>
      </c>
      <c r="J15" s="55" t="s">
        <v>78</v>
      </c>
      <c r="K15" s="54" t="s">
        <v>89</v>
      </c>
      <c r="L15" s="56">
        <f>37862+(6*364)</f>
        <v>40046</v>
      </c>
      <c r="M15" s="43">
        <f t="shared" ca="1" si="0"/>
        <v>16</v>
      </c>
    </row>
    <row r="16" spans="1:13" ht="14.4" customHeight="1" x14ac:dyDescent="0.3">
      <c r="A16" s="49" t="s">
        <v>118</v>
      </c>
      <c r="B16" s="49" t="s">
        <v>95</v>
      </c>
      <c r="C16" s="50">
        <v>28817</v>
      </c>
      <c r="D16" s="51">
        <v>115529</v>
      </c>
      <c r="E16" s="52">
        <v>3038792521</v>
      </c>
      <c r="F16" s="43" t="s">
        <v>81</v>
      </c>
      <c r="G16" s="53">
        <v>78138</v>
      </c>
      <c r="H16" s="54" t="s">
        <v>70</v>
      </c>
      <c r="I16" s="54" t="s">
        <v>119</v>
      </c>
      <c r="J16" s="55" t="s">
        <v>88</v>
      </c>
      <c r="K16" s="54" t="s">
        <v>93</v>
      </c>
      <c r="L16" s="56">
        <f>42061+(6*364)</f>
        <v>44245</v>
      </c>
      <c r="M16" s="43">
        <f t="shared" ca="1" si="0"/>
        <v>4</v>
      </c>
    </row>
    <row r="17" spans="1:13" x14ac:dyDescent="0.3">
      <c r="A17" s="49" t="s">
        <v>120</v>
      </c>
      <c r="B17" s="49" t="s">
        <v>95</v>
      </c>
      <c r="C17" s="50">
        <v>76894</v>
      </c>
      <c r="D17" s="51">
        <v>118223</v>
      </c>
      <c r="E17" s="52">
        <v>5058527032</v>
      </c>
      <c r="F17" s="43"/>
      <c r="G17" s="53">
        <v>56435</v>
      </c>
      <c r="H17" s="54" t="s">
        <v>86</v>
      </c>
      <c r="I17" s="54" t="s">
        <v>121</v>
      </c>
      <c r="J17" s="55" t="s">
        <v>83</v>
      </c>
      <c r="K17" s="54" t="s">
        <v>93</v>
      </c>
      <c r="L17" s="56">
        <f>38299+(6*364)</f>
        <v>40483</v>
      </c>
      <c r="M17" s="43">
        <f t="shared" ca="1" si="0"/>
        <v>15</v>
      </c>
    </row>
    <row r="18" spans="1:13" x14ac:dyDescent="0.3">
      <c r="A18" s="49" t="s">
        <v>122</v>
      </c>
      <c r="B18" s="49" t="s">
        <v>95</v>
      </c>
      <c r="C18" s="50">
        <v>41643</v>
      </c>
      <c r="D18" s="51">
        <v>68845</v>
      </c>
      <c r="E18" s="52">
        <v>7194555389</v>
      </c>
      <c r="F18" s="43"/>
      <c r="G18" s="53">
        <v>95190</v>
      </c>
      <c r="H18" s="54" t="s">
        <v>108</v>
      </c>
      <c r="I18" s="54" t="s">
        <v>123</v>
      </c>
      <c r="J18" s="55" t="s">
        <v>72</v>
      </c>
      <c r="K18" s="54" t="s">
        <v>106</v>
      </c>
      <c r="L18" s="56">
        <f>38430+(6*364)</f>
        <v>40614</v>
      </c>
      <c r="M18" s="43">
        <f t="shared" ca="1" si="0"/>
        <v>14</v>
      </c>
    </row>
    <row r="19" spans="1:13" x14ac:dyDescent="0.3">
      <c r="A19" s="49" t="s">
        <v>124</v>
      </c>
      <c r="B19" s="49" t="s">
        <v>95</v>
      </c>
      <c r="C19" s="50">
        <v>71978</v>
      </c>
      <c r="D19" s="51">
        <v>48639</v>
      </c>
      <c r="E19" s="52">
        <v>7195804771</v>
      </c>
      <c r="F19" s="43"/>
      <c r="G19" s="53">
        <v>41000</v>
      </c>
      <c r="H19" s="54" t="s">
        <v>86</v>
      </c>
      <c r="I19" s="54" t="s">
        <v>125</v>
      </c>
      <c r="J19" s="55" t="s">
        <v>72</v>
      </c>
      <c r="K19" s="54" t="s">
        <v>106</v>
      </c>
      <c r="L19" s="56">
        <f>35670+(6*364)</f>
        <v>37854</v>
      </c>
      <c r="M19" s="43">
        <f t="shared" ca="1" si="0"/>
        <v>22</v>
      </c>
    </row>
    <row r="20" spans="1:13" x14ac:dyDescent="0.3">
      <c r="A20" s="49" t="s">
        <v>126</v>
      </c>
      <c r="B20" s="49" t="s">
        <v>95</v>
      </c>
      <c r="C20" s="50">
        <v>25627</v>
      </c>
      <c r="D20" s="51">
        <v>78434</v>
      </c>
      <c r="E20" s="52">
        <v>7195441252</v>
      </c>
      <c r="F20" s="43" t="s">
        <v>91</v>
      </c>
      <c r="G20" s="53">
        <v>85454</v>
      </c>
      <c r="H20" s="54" t="s">
        <v>70</v>
      </c>
      <c r="I20" s="54" t="s">
        <v>127</v>
      </c>
      <c r="J20" s="55" t="s">
        <v>78</v>
      </c>
      <c r="K20" s="54" t="s">
        <v>128</v>
      </c>
      <c r="L20" s="56">
        <f>36332+(6*364)</f>
        <v>38516</v>
      </c>
      <c r="M20" s="43">
        <f t="shared" ca="1" si="0"/>
        <v>20</v>
      </c>
    </row>
    <row r="21" spans="1:13" x14ac:dyDescent="0.3">
      <c r="A21" s="49" t="s">
        <v>129</v>
      </c>
      <c r="B21" s="49" t="s">
        <v>95</v>
      </c>
      <c r="C21" s="50">
        <v>12392</v>
      </c>
      <c r="D21" s="51">
        <v>61494</v>
      </c>
      <c r="E21" s="52">
        <v>9702999652</v>
      </c>
      <c r="F21" s="43"/>
      <c r="G21" s="53">
        <v>68801</v>
      </c>
      <c r="H21" s="54" t="s">
        <v>86</v>
      </c>
      <c r="I21" s="54" t="s">
        <v>130</v>
      </c>
      <c r="J21" s="55" t="s">
        <v>88</v>
      </c>
      <c r="K21" s="54" t="s">
        <v>131</v>
      </c>
      <c r="L21" s="56">
        <f>41453+(6*364)</f>
        <v>43637</v>
      </c>
      <c r="M21" s="43">
        <f t="shared" ca="1" si="0"/>
        <v>6</v>
      </c>
    </row>
    <row r="22" spans="1:13" x14ac:dyDescent="0.3">
      <c r="A22" s="49" t="s">
        <v>132</v>
      </c>
      <c r="B22" s="49" t="s">
        <v>95</v>
      </c>
      <c r="C22" s="50">
        <v>88358</v>
      </c>
      <c r="D22" s="51">
        <v>91445</v>
      </c>
      <c r="E22" s="52">
        <v>5051389906</v>
      </c>
      <c r="F22" s="43" t="s">
        <v>98</v>
      </c>
      <c r="G22" s="53">
        <v>119069</v>
      </c>
      <c r="H22" s="54" t="s">
        <v>70</v>
      </c>
      <c r="I22" s="54" t="s">
        <v>133</v>
      </c>
      <c r="J22" s="55" t="s">
        <v>88</v>
      </c>
      <c r="K22" s="54" t="s">
        <v>93</v>
      </c>
      <c r="L22" s="56">
        <f>39062+(6*364)</f>
        <v>41246</v>
      </c>
      <c r="M22" s="43">
        <f t="shared" ca="1" si="0"/>
        <v>13</v>
      </c>
    </row>
    <row r="23" spans="1:13" x14ac:dyDescent="0.3">
      <c r="A23" s="49" t="s">
        <v>134</v>
      </c>
      <c r="B23" s="49" t="s">
        <v>95</v>
      </c>
      <c r="C23" s="50">
        <v>11749</v>
      </c>
      <c r="D23" s="51">
        <v>57947</v>
      </c>
      <c r="E23" s="52">
        <v>7198801464</v>
      </c>
      <c r="F23" s="43"/>
      <c r="G23" s="53">
        <v>68318</v>
      </c>
      <c r="H23" s="54" t="s">
        <v>108</v>
      </c>
      <c r="I23" s="54" t="s">
        <v>74</v>
      </c>
      <c r="J23" s="55" t="s">
        <v>72</v>
      </c>
      <c r="K23" s="54" t="s">
        <v>89</v>
      </c>
      <c r="L23" s="56">
        <f>41113+(6*364)</f>
        <v>43297</v>
      </c>
      <c r="M23" s="43">
        <f t="shared" ca="1" si="0"/>
        <v>7</v>
      </c>
    </row>
    <row r="24" spans="1:13" x14ac:dyDescent="0.3">
      <c r="A24" s="49" t="s">
        <v>135</v>
      </c>
      <c r="B24" s="49" t="s">
        <v>136</v>
      </c>
      <c r="C24" s="50">
        <v>71946</v>
      </c>
      <c r="D24" s="51">
        <v>66792</v>
      </c>
      <c r="E24" s="52">
        <v>7191711684</v>
      </c>
      <c r="F24" s="43"/>
      <c r="G24" s="53">
        <v>48610</v>
      </c>
      <c r="H24" s="54" t="s">
        <v>108</v>
      </c>
      <c r="I24" s="54" t="s">
        <v>137</v>
      </c>
      <c r="J24" s="55" t="s">
        <v>72</v>
      </c>
      <c r="K24" s="54" t="s">
        <v>79</v>
      </c>
      <c r="L24" s="56">
        <f>38386+(6*364)</f>
        <v>40570</v>
      </c>
      <c r="M24" s="43">
        <f t="shared" ca="1" si="0"/>
        <v>14</v>
      </c>
    </row>
    <row r="25" spans="1:13" x14ac:dyDescent="0.3">
      <c r="A25" s="49" t="s">
        <v>138</v>
      </c>
      <c r="B25" s="49" t="s">
        <v>136</v>
      </c>
      <c r="C25" s="50">
        <v>39342</v>
      </c>
      <c r="D25" s="51">
        <v>113492</v>
      </c>
      <c r="E25" s="52">
        <v>5052126686</v>
      </c>
      <c r="F25" s="43"/>
      <c r="G25" s="53">
        <v>129082</v>
      </c>
      <c r="H25" s="54" t="s">
        <v>108</v>
      </c>
      <c r="I25" s="54" t="s">
        <v>139</v>
      </c>
      <c r="J25" s="55" t="s">
        <v>83</v>
      </c>
      <c r="K25" s="54" t="s">
        <v>89</v>
      </c>
      <c r="L25" s="56">
        <f>39744+(6*364)</f>
        <v>41928</v>
      </c>
      <c r="M25" s="43">
        <f t="shared" ca="1" si="0"/>
        <v>11</v>
      </c>
    </row>
    <row r="26" spans="1:13" x14ac:dyDescent="0.3">
      <c r="A26" s="49" t="s">
        <v>140</v>
      </c>
      <c r="B26" s="49" t="s">
        <v>136</v>
      </c>
      <c r="C26" s="50">
        <v>43826</v>
      </c>
      <c r="D26" s="51">
        <v>78449</v>
      </c>
      <c r="E26" s="52">
        <v>7198999194</v>
      </c>
      <c r="F26" s="43"/>
      <c r="G26" s="53">
        <v>71844</v>
      </c>
      <c r="H26" s="54" t="s">
        <v>86</v>
      </c>
      <c r="I26" s="54" t="s">
        <v>141</v>
      </c>
      <c r="J26" s="55" t="s">
        <v>88</v>
      </c>
      <c r="K26" s="54" t="s">
        <v>103</v>
      </c>
      <c r="L26" s="56">
        <f>35426+(6*364)</f>
        <v>37610</v>
      </c>
      <c r="M26" s="43">
        <f t="shared" ca="1" si="0"/>
        <v>22</v>
      </c>
    </row>
    <row r="27" spans="1:13" x14ac:dyDescent="0.3">
      <c r="A27" s="49" t="s">
        <v>142</v>
      </c>
      <c r="B27" s="49" t="s">
        <v>136</v>
      </c>
      <c r="C27" s="50">
        <v>36812</v>
      </c>
      <c r="D27" s="51">
        <v>75335</v>
      </c>
      <c r="E27" s="52">
        <v>3034375399</v>
      </c>
      <c r="F27" s="43" t="s">
        <v>81</v>
      </c>
      <c r="G27" s="53">
        <v>97142</v>
      </c>
      <c r="H27" s="54" t="s">
        <v>70</v>
      </c>
      <c r="I27" s="54" t="s">
        <v>143</v>
      </c>
      <c r="J27" s="55" t="s">
        <v>88</v>
      </c>
      <c r="K27" s="54" t="s">
        <v>84</v>
      </c>
      <c r="L27" s="56">
        <f>42285+(6*364)</f>
        <v>44469</v>
      </c>
      <c r="M27" s="43">
        <f t="shared" ca="1" si="0"/>
        <v>4</v>
      </c>
    </row>
    <row r="28" spans="1:13" x14ac:dyDescent="0.3">
      <c r="A28" s="49" t="s">
        <v>144</v>
      </c>
      <c r="B28" s="49" t="s">
        <v>136</v>
      </c>
      <c r="C28" s="50">
        <v>91712</v>
      </c>
      <c r="D28" s="51">
        <v>45375</v>
      </c>
      <c r="E28" s="52">
        <v>9701620909</v>
      </c>
      <c r="F28" s="43" t="s">
        <v>98</v>
      </c>
      <c r="G28" s="53">
        <v>54601</v>
      </c>
      <c r="H28" s="54" t="s">
        <v>70</v>
      </c>
      <c r="I28" s="54" t="s">
        <v>145</v>
      </c>
      <c r="J28" s="55" t="s">
        <v>78</v>
      </c>
      <c r="K28" s="54" t="s">
        <v>146</v>
      </c>
      <c r="L28" s="56">
        <f>39160+(6*364)</f>
        <v>41344</v>
      </c>
      <c r="M28" s="43">
        <f t="shared" ca="1" si="0"/>
        <v>12</v>
      </c>
    </row>
    <row r="29" spans="1:13" x14ac:dyDescent="0.3">
      <c r="A29" s="49" t="s">
        <v>147</v>
      </c>
      <c r="B29" s="49" t="s">
        <v>136</v>
      </c>
      <c r="C29" s="50">
        <v>35104</v>
      </c>
      <c r="D29" s="51">
        <v>76251</v>
      </c>
      <c r="E29" s="52">
        <v>3036799516</v>
      </c>
      <c r="F29" s="43" t="s">
        <v>69</v>
      </c>
      <c r="G29" s="53">
        <v>98808</v>
      </c>
      <c r="H29" s="54" t="s">
        <v>76</v>
      </c>
      <c r="I29" s="54" t="s">
        <v>148</v>
      </c>
      <c r="J29" s="55" t="s">
        <v>88</v>
      </c>
      <c r="K29" s="54" t="s">
        <v>93</v>
      </c>
      <c r="L29" s="56">
        <f>36093+(6*364)</f>
        <v>38277</v>
      </c>
      <c r="M29" s="43">
        <f t="shared" ca="1" si="0"/>
        <v>21</v>
      </c>
    </row>
    <row r="30" spans="1:13" x14ac:dyDescent="0.3">
      <c r="A30" s="49" t="s">
        <v>149</v>
      </c>
      <c r="B30" s="49" t="s">
        <v>136</v>
      </c>
      <c r="C30" s="50">
        <v>87819</v>
      </c>
      <c r="D30" s="51">
        <v>88752</v>
      </c>
      <c r="E30" s="52">
        <v>3033820613</v>
      </c>
      <c r="F30" s="43" t="s">
        <v>91</v>
      </c>
      <c r="G30" s="53">
        <v>70256</v>
      </c>
      <c r="H30" s="54" t="s">
        <v>70</v>
      </c>
      <c r="I30" s="54" t="s">
        <v>150</v>
      </c>
      <c r="J30" s="55" t="s">
        <v>78</v>
      </c>
      <c r="K30" s="54" t="s">
        <v>89</v>
      </c>
      <c r="L30" s="56">
        <f>40733+(6*364)</f>
        <v>42917</v>
      </c>
      <c r="M30" s="43">
        <f t="shared" ca="1" si="0"/>
        <v>8</v>
      </c>
    </row>
    <row r="31" spans="1:13" x14ac:dyDescent="0.3">
      <c r="A31" s="49" t="s">
        <v>151</v>
      </c>
      <c r="B31" s="49" t="s">
        <v>136</v>
      </c>
      <c r="C31" s="50">
        <v>62493</v>
      </c>
      <c r="D31" s="51">
        <v>75089</v>
      </c>
      <c r="E31" s="52">
        <v>9708405900</v>
      </c>
      <c r="F31" s="43" t="s">
        <v>98</v>
      </c>
      <c r="G31" s="53">
        <v>53650</v>
      </c>
      <c r="H31" s="54" t="s">
        <v>70</v>
      </c>
      <c r="I31" s="54" t="s">
        <v>152</v>
      </c>
      <c r="J31" s="55" t="s">
        <v>153</v>
      </c>
      <c r="K31" s="54" t="s">
        <v>79</v>
      </c>
      <c r="L31" s="56">
        <f>41603+(6*364)</f>
        <v>43787</v>
      </c>
      <c r="M31" s="43">
        <f t="shared" ca="1" si="0"/>
        <v>6</v>
      </c>
    </row>
    <row r="32" spans="1:13" x14ac:dyDescent="0.3">
      <c r="A32" s="49" t="s">
        <v>154</v>
      </c>
      <c r="B32" s="49" t="s">
        <v>136</v>
      </c>
      <c r="C32" s="50">
        <v>76653</v>
      </c>
      <c r="D32" s="51">
        <v>67907</v>
      </c>
      <c r="E32" s="52">
        <v>9707280453</v>
      </c>
      <c r="F32" s="43" t="s">
        <v>81</v>
      </c>
      <c r="G32" s="53">
        <v>115642</v>
      </c>
      <c r="H32" s="54" t="s">
        <v>76</v>
      </c>
      <c r="I32" s="54" t="s">
        <v>155</v>
      </c>
      <c r="J32" s="55" t="s">
        <v>100</v>
      </c>
      <c r="K32" s="54" t="s">
        <v>89</v>
      </c>
      <c r="L32" s="56">
        <f>37267+(6*364)</f>
        <v>39451</v>
      </c>
      <c r="M32" s="43">
        <f t="shared" ca="1" si="0"/>
        <v>17</v>
      </c>
    </row>
    <row r="33" spans="1:13" x14ac:dyDescent="0.3">
      <c r="A33" s="49" t="s">
        <v>156</v>
      </c>
      <c r="B33" s="49" t="s">
        <v>136</v>
      </c>
      <c r="C33" s="50">
        <v>82344</v>
      </c>
      <c r="D33" s="51">
        <v>81098</v>
      </c>
      <c r="E33" s="52">
        <v>9703386758</v>
      </c>
      <c r="F33" s="43" t="s">
        <v>69</v>
      </c>
      <c r="G33" s="53">
        <v>91258</v>
      </c>
      <c r="H33" s="54" t="s">
        <v>70</v>
      </c>
      <c r="I33" s="54" t="s">
        <v>157</v>
      </c>
      <c r="J33" s="55" t="s">
        <v>88</v>
      </c>
      <c r="K33" s="54" t="s">
        <v>158</v>
      </c>
      <c r="L33" s="56">
        <f>38281+(6*364)</f>
        <v>40465</v>
      </c>
      <c r="M33" s="43">
        <f t="shared" ca="1" si="0"/>
        <v>15</v>
      </c>
    </row>
    <row r="34" spans="1:13" x14ac:dyDescent="0.3">
      <c r="A34" s="49" t="s">
        <v>145</v>
      </c>
      <c r="B34" s="49" t="s">
        <v>159</v>
      </c>
      <c r="C34" s="50">
        <v>19691</v>
      </c>
      <c r="D34" s="51">
        <v>73879</v>
      </c>
      <c r="E34" s="52">
        <v>9705915044</v>
      </c>
      <c r="F34" s="43" t="s">
        <v>91</v>
      </c>
      <c r="G34" s="53">
        <v>51722</v>
      </c>
      <c r="H34" s="54" t="s">
        <v>70</v>
      </c>
      <c r="I34" s="54" t="s">
        <v>160</v>
      </c>
      <c r="J34" s="55" t="s">
        <v>72</v>
      </c>
      <c r="K34" s="54" t="s">
        <v>73</v>
      </c>
      <c r="L34" s="56">
        <f>35348+(6*364)</f>
        <v>37532</v>
      </c>
      <c r="M34" s="43">
        <f t="shared" ca="1" si="0"/>
        <v>23</v>
      </c>
    </row>
    <row r="35" spans="1:13" x14ac:dyDescent="0.3">
      <c r="A35" s="49" t="s">
        <v>161</v>
      </c>
      <c r="B35" s="49" t="s">
        <v>159</v>
      </c>
      <c r="C35" s="50">
        <v>89784</v>
      </c>
      <c r="D35" s="51">
        <v>91212</v>
      </c>
      <c r="E35" s="52">
        <v>9707179128</v>
      </c>
      <c r="F35" s="43" t="s">
        <v>81</v>
      </c>
      <c r="G35" s="53">
        <v>51653</v>
      </c>
      <c r="H35" s="54" t="s">
        <v>70</v>
      </c>
      <c r="I35" s="54" t="s">
        <v>162</v>
      </c>
      <c r="J35" s="55" t="s">
        <v>72</v>
      </c>
      <c r="K35" s="54" t="s">
        <v>93</v>
      </c>
      <c r="L35" s="56">
        <f>36073+(6*364)</f>
        <v>38257</v>
      </c>
      <c r="M35" s="43">
        <f t="shared" ca="1" si="0"/>
        <v>21</v>
      </c>
    </row>
    <row r="36" spans="1:13" x14ac:dyDescent="0.3">
      <c r="A36" s="49" t="s">
        <v>163</v>
      </c>
      <c r="B36" s="49" t="s">
        <v>159</v>
      </c>
      <c r="C36" s="50">
        <v>75580</v>
      </c>
      <c r="D36" s="51">
        <v>73697</v>
      </c>
      <c r="E36" s="52">
        <v>7191614846</v>
      </c>
      <c r="F36" s="43" t="s">
        <v>91</v>
      </c>
      <c r="G36" s="53">
        <v>44325</v>
      </c>
      <c r="H36" s="54" t="s">
        <v>108</v>
      </c>
      <c r="I36" s="54" t="s">
        <v>164</v>
      </c>
      <c r="J36" s="55" t="s">
        <v>78</v>
      </c>
      <c r="K36" s="54" t="s">
        <v>79</v>
      </c>
      <c r="L36" s="56">
        <f>40271+(6*364)</f>
        <v>42455</v>
      </c>
      <c r="M36" s="43">
        <f t="shared" ca="1" si="0"/>
        <v>9</v>
      </c>
    </row>
    <row r="37" spans="1:13" x14ac:dyDescent="0.3">
      <c r="A37" s="49" t="s">
        <v>165</v>
      </c>
      <c r="B37" s="49" t="s">
        <v>159</v>
      </c>
      <c r="C37" s="50">
        <v>26930</v>
      </c>
      <c r="D37" s="51">
        <v>64261</v>
      </c>
      <c r="E37" s="52">
        <v>5055344270</v>
      </c>
      <c r="F37" s="43" t="s">
        <v>98</v>
      </c>
      <c r="G37" s="53">
        <v>56005</v>
      </c>
      <c r="H37" s="54" t="s">
        <v>70</v>
      </c>
      <c r="I37" s="54" t="s">
        <v>166</v>
      </c>
      <c r="J37" s="55" t="s">
        <v>88</v>
      </c>
      <c r="K37" s="54" t="s">
        <v>79</v>
      </c>
      <c r="L37" s="56">
        <f>41942+(6*364)</f>
        <v>44126</v>
      </c>
      <c r="M37" s="43">
        <f t="shared" ca="1" si="0"/>
        <v>5</v>
      </c>
    </row>
    <row r="38" spans="1:13" x14ac:dyDescent="0.3">
      <c r="A38" s="49" t="s">
        <v>71</v>
      </c>
      <c r="B38" s="49" t="s">
        <v>106</v>
      </c>
      <c r="C38" s="50">
        <v>80484</v>
      </c>
      <c r="D38" s="51">
        <v>69106</v>
      </c>
      <c r="E38" s="52">
        <v>7192511732</v>
      </c>
      <c r="F38" s="43"/>
      <c r="G38" s="53">
        <v>33834</v>
      </c>
      <c r="H38" s="54" t="s">
        <v>86</v>
      </c>
      <c r="I38" s="54" t="s">
        <v>167</v>
      </c>
      <c r="J38" s="55" t="s">
        <v>88</v>
      </c>
      <c r="K38" s="54" t="s">
        <v>79</v>
      </c>
      <c r="L38" s="56">
        <f>35203+(6*364)</f>
        <v>37387</v>
      </c>
      <c r="M38" s="43">
        <f t="shared" ca="1" si="0"/>
        <v>23</v>
      </c>
    </row>
    <row r="39" spans="1:13" x14ac:dyDescent="0.3">
      <c r="A39" s="49" t="s">
        <v>109</v>
      </c>
      <c r="B39" s="49" t="s">
        <v>106</v>
      </c>
      <c r="C39" s="50">
        <v>19972</v>
      </c>
      <c r="D39" s="51">
        <v>79103</v>
      </c>
      <c r="E39" s="52">
        <v>7193957018</v>
      </c>
      <c r="F39" s="43" t="s">
        <v>91</v>
      </c>
      <c r="G39" s="53">
        <v>91959</v>
      </c>
      <c r="H39" s="54" t="s">
        <v>70</v>
      </c>
      <c r="I39" s="54" t="s">
        <v>168</v>
      </c>
      <c r="J39" s="55" t="s">
        <v>83</v>
      </c>
      <c r="K39" s="54" t="s">
        <v>79</v>
      </c>
      <c r="L39" s="56">
        <f>37700+(6*364)</f>
        <v>39884</v>
      </c>
      <c r="M39" s="43">
        <f t="shared" ca="1" si="0"/>
        <v>16</v>
      </c>
    </row>
    <row r="40" spans="1:13" x14ac:dyDescent="0.3">
      <c r="A40" s="49" t="s">
        <v>169</v>
      </c>
      <c r="B40" s="49" t="s">
        <v>106</v>
      </c>
      <c r="C40" s="50">
        <v>43975</v>
      </c>
      <c r="D40" s="51">
        <v>31778</v>
      </c>
      <c r="E40" s="52">
        <v>3034626281</v>
      </c>
      <c r="F40" s="43"/>
      <c r="G40" s="53">
        <v>28167</v>
      </c>
      <c r="H40" s="54" t="s">
        <v>86</v>
      </c>
      <c r="I40" s="54" t="s">
        <v>170</v>
      </c>
      <c r="J40" s="55" t="s">
        <v>88</v>
      </c>
      <c r="K40" s="54" t="s">
        <v>89</v>
      </c>
      <c r="L40" s="56">
        <f>38229+(6*364)</f>
        <v>40413</v>
      </c>
      <c r="M40" s="43">
        <f t="shared" ca="1" si="0"/>
        <v>15</v>
      </c>
    </row>
    <row r="41" spans="1:13" x14ac:dyDescent="0.3">
      <c r="A41" s="49" t="s">
        <v>171</v>
      </c>
      <c r="B41" s="49" t="s">
        <v>106</v>
      </c>
      <c r="C41" s="50">
        <v>73360</v>
      </c>
      <c r="D41" s="51">
        <v>131654</v>
      </c>
      <c r="E41" s="52">
        <v>5056104400</v>
      </c>
      <c r="F41" s="43" t="s">
        <v>98</v>
      </c>
      <c r="G41" s="53">
        <v>102051</v>
      </c>
      <c r="H41" s="54" t="s">
        <v>70</v>
      </c>
      <c r="I41" s="54" t="s">
        <v>135</v>
      </c>
      <c r="J41" s="55" t="s">
        <v>78</v>
      </c>
      <c r="K41" s="54" t="s">
        <v>172</v>
      </c>
      <c r="L41" s="56">
        <f>39699+(6*364)</f>
        <v>41883</v>
      </c>
      <c r="M41" s="43">
        <f t="shared" ca="1" si="0"/>
        <v>11</v>
      </c>
    </row>
    <row r="42" spans="1:13" x14ac:dyDescent="0.3">
      <c r="A42" s="49" t="s">
        <v>173</v>
      </c>
      <c r="B42" s="49" t="s">
        <v>106</v>
      </c>
      <c r="C42" s="50">
        <v>26003</v>
      </c>
      <c r="D42" s="51">
        <v>95970</v>
      </c>
      <c r="E42" s="52">
        <v>5053498222</v>
      </c>
      <c r="F42" s="43" t="s">
        <v>98</v>
      </c>
      <c r="G42" s="53">
        <v>88900</v>
      </c>
      <c r="H42" s="54" t="s">
        <v>70</v>
      </c>
      <c r="I42" s="54" t="s">
        <v>174</v>
      </c>
      <c r="J42" s="55" t="s">
        <v>83</v>
      </c>
      <c r="K42" s="54" t="s">
        <v>175</v>
      </c>
      <c r="L42" s="56">
        <f>42216+(6*364)</f>
        <v>44400</v>
      </c>
      <c r="M42" s="43">
        <f t="shared" ca="1" si="0"/>
        <v>4</v>
      </c>
    </row>
    <row r="43" spans="1:13" x14ac:dyDescent="0.3">
      <c r="A43" s="49" t="s">
        <v>176</v>
      </c>
      <c r="B43" s="49" t="s">
        <v>106</v>
      </c>
      <c r="C43" s="50">
        <v>95270</v>
      </c>
      <c r="D43" s="51">
        <v>33455</v>
      </c>
      <c r="E43" s="52">
        <v>5051517218</v>
      </c>
      <c r="F43" s="43" t="s">
        <v>69</v>
      </c>
      <c r="G43" s="53">
        <v>119718</v>
      </c>
      <c r="H43" s="54" t="s">
        <v>70</v>
      </c>
      <c r="I43" s="54" t="s">
        <v>177</v>
      </c>
      <c r="J43" s="55" t="s">
        <v>78</v>
      </c>
      <c r="K43" s="54" t="s">
        <v>93</v>
      </c>
      <c r="L43" s="56">
        <f>37018+(6*364)</f>
        <v>39202</v>
      </c>
      <c r="M43" s="43">
        <f t="shared" ca="1" si="0"/>
        <v>18</v>
      </c>
    </row>
    <row r="44" spans="1:13" x14ac:dyDescent="0.3">
      <c r="A44" s="49" t="s">
        <v>178</v>
      </c>
      <c r="B44" s="49" t="s">
        <v>106</v>
      </c>
      <c r="C44" s="50">
        <v>60128</v>
      </c>
      <c r="D44" s="51">
        <v>100423</v>
      </c>
      <c r="E44" s="52">
        <v>5052163497</v>
      </c>
      <c r="F44" s="43"/>
      <c r="G44" s="53">
        <v>89613</v>
      </c>
      <c r="H44" s="54" t="s">
        <v>86</v>
      </c>
      <c r="I44" s="54" t="s">
        <v>179</v>
      </c>
      <c r="J44" s="55" t="s">
        <v>72</v>
      </c>
      <c r="K44" s="54" t="s">
        <v>158</v>
      </c>
      <c r="L44" s="56">
        <f>37597+(6*364)</f>
        <v>39781</v>
      </c>
      <c r="M44" s="43">
        <f t="shared" ca="1" si="0"/>
        <v>17</v>
      </c>
    </row>
    <row r="45" spans="1:13" x14ac:dyDescent="0.3">
      <c r="A45" s="49" t="s">
        <v>180</v>
      </c>
      <c r="B45" s="49" t="s">
        <v>106</v>
      </c>
      <c r="C45" s="50">
        <v>96609</v>
      </c>
      <c r="D45" s="51">
        <v>71138</v>
      </c>
      <c r="E45" s="52">
        <v>7191391475</v>
      </c>
      <c r="F45" s="43" t="s">
        <v>69</v>
      </c>
      <c r="G45" s="53">
        <v>120609</v>
      </c>
      <c r="H45" s="54" t="s">
        <v>70</v>
      </c>
      <c r="I45" s="54" t="s">
        <v>181</v>
      </c>
      <c r="J45" s="55" t="s">
        <v>72</v>
      </c>
      <c r="K45" s="54" t="s">
        <v>106</v>
      </c>
      <c r="L45" s="56">
        <f>35396+(6*364)</f>
        <v>37580</v>
      </c>
      <c r="M45" s="43">
        <f t="shared" ca="1" si="0"/>
        <v>23</v>
      </c>
    </row>
    <row r="46" spans="1:13" x14ac:dyDescent="0.3">
      <c r="A46" s="49" t="s">
        <v>182</v>
      </c>
      <c r="B46" s="49" t="s">
        <v>106</v>
      </c>
      <c r="C46" s="50">
        <v>16606</v>
      </c>
      <c r="D46" s="51">
        <v>110160</v>
      </c>
      <c r="E46" s="52">
        <v>5056053287</v>
      </c>
      <c r="F46" s="43" t="s">
        <v>91</v>
      </c>
      <c r="G46" s="53">
        <v>87854</v>
      </c>
      <c r="H46" s="54" t="s">
        <v>70</v>
      </c>
      <c r="I46" s="54" t="s">
        <v>183</v>
      </c>
      <c r="J46" s="55" t="s">
        <v>88</v>
      </c>
      <c r="K46" s="54" t="s">
        <v>172</v>
      </c>
      <c r="L46" s="56">
        <f>37280+(6*364)</f>
        <v>39464</v>
      </c>
      <c r="M46" s="43">
        <f t="shared" ca="1" si="0"/>
        <v>17</v>
      </c>
    </row>
    <row r="47" spans="1:13" x14ac:dyDescent="0.3">
      <c r="A47" s="49" t="s">
        <v>184</v>
      </c>
      <c r="B47" s="49" t="s">
        <v>106</v>
      </c>
      <c r="C47" s="50">
        <v>17356</v>
      </c>
      <c r="D47" s="51">
        <v>110916</v>
      </c>
      <c r="E47" s="52">
        <v>5051569304</v>
      </c>
      <c r="F47" s="43"/>
      <c r="G47" s="53">
        <v>76187</v>
      </c>
      <c r="H47" s="54" t="s">
        <v>108</v>
      </c>
      <c r="I47" s="54" t="s">
        <v>185</v>
      </c>
      <c r="J47" s="55" t="s">
        <v>88</v>
      </c>
      <c r="K47" s="54" t="s">
        <v>89</v>
      </c>
      <c r="L47" s="56">
        <f>35903+(6*364)</f>
        <v>38087</v>
      </c>
      <c r="M47" s="43">
        <f t="shared" ca="1" si="0"/>
        <v>21</v>
      </c>
    </row>
    <row r="48" spans="1:13" x14ac:dyDescent="0.3">
      <c r="A48" s="49" t="s">
        <v>186</v>
      </c>
      <c r="B48" s="49" t="s">
        <v>106</v>
      </c>
      <c r="C48" s="50">
        <v>11917</v>
      </c>
      <c r="D48" s="51">
        <v>127433</v>
      </c>
      <c r="E48" s="52">
        <v>3031282202</v>
      </c>
      <c r="F48" s="43" t="s">
        <v>98</v>
      </c>
      <c r="G48" s="53">
        <v>45048</v>
      </c>
      <c r="H48" s="54" t="s">
        <v>70</v>
      </c>
      <c r="I48" s="54" t="s">
        <v>169</v>
      </c>
      <c r="J48" s="55" t="s">
        <v>88</v>
      </c>
      <c r="K48" s="54" t="s">
        <v>172</v>
      </c>
      <c r="L48" s="56">
        <f>38330+(6*364)</f>
        <v>40514</v>
      </c>
      <c r="M48" s="43">
        <f t="shared" ca="1" si="0"/>
        <v>15</v>
      </c>
    </row>
    <row r="49" spans="1:13" x14ac:dyDescent="0.3">
      <c r="A49" s="49" t="s">
        <v>187</v>
      </c>
      <c r="B49" s="49" t="s">
        <v>106</v>
      </c>
      <c r="C49" s="50">
        <v>35830</v>
      </c>
      <c r="D49" s="51">
        <v>60354</v>
      </c>
      <c r="E49" s="52">
        <v>9705250630</v>
      </c>
      <c r="F49" s="43" t="s">
        <v>69</v>
      </c>
      <c r="G49" s="53">
        <v>76999</v>
      </c>
      <c r="H49" s="54" t="s">
        <v>70</v>
      </c>
      <c r="I49" s="54" t="s">
        <v>188</v>
      </c>
      <c r="J49" s="55" t="s">
        <v>88</v>
      </c>
      <c r="K49" s="54" t="s">
        <v>189</v>
      </c>
      <c r="L49" s="56">
        <f>38173+(6*364)</f>
        <v>40357</v>
      </c>
      <c r="M49" s="43">
        <f t="shared" ca="1" si="0"/>
        <v>15</v>
      </c>
    </row>
    <row r="50" spans="1:13" x14ac:dyDescent="0.3">
      <c r="A50" s="49" t="s">
        <v>190</v>
      </c>
      <c r="B50" s="49" t="s">
        <v>106</v>
      </c>
      <c r="C50" s="50">
        <v>94984</v>
      </c>
      <c r="D50" s="51">
        <v>115282</v>
      </c>
      <c r="E50" s="52">
        <v>9706853122</v>
      </c>
      <c r="F50" s="43" t="s">
        <v>81</v>
      </c>
      <c r="G50" s="53">
        <v>89140</v>
      </c>
      <c r="H50" s="54" t="s">
        <v>70</v>
      </c>
      <c r="I50" s="54" t="s">
        <v>171</v>
      </c>
      <c r="J50" s="55" t="s">
        <v>88</v>
      </c>
      <c r="K50" s="54" t="s">
        <v>93</v>
      </c>
      <c r="L50" s="56">
        <f>35158+(6*364)</f>
        <v>37342</v>
      </c>
      <c r="M50" s="43">
        <f t="shared" ca="1" si="0"/>
        <v>23</v>
      </c>
    </row>
    <row r="51" spans="1:13" x14ac:dyDescent="0.3">
      <c r="A51" s="49" t="s">
        <v>191</v>
      </c>
      <c r="B51" s="49" t="s">
        <v>106</v>
      </c>
      <c r="C51" s="50">
        <v>45301</v>
      </c>
      <c r="D51" s="51">
        <v>63255</v>
      </c>
      <c r="E51" s="52">
        <v>9701201242</v>
      </c>
      <c r="F51" s="43"/>
      <c r="G51" s="53">
        <v>74236</v>
      </c>
      <c r="H51" s="54" t="s">
        <v>86</v>
      </c>
      <c r="I51" s="54" t="s">
        <v>192</v>
      </c>
      <c r="J51" s="55" t="s">
        <v>88</v>
      </c>
      <c r="K51" s="54" t="s">
        <v>93</v>
      </c>
      <c r="L51" s="56">
        <f>35022+(6*364)</f>
        <v>37206</v>
      </c>
      <c r="M51" s="43">
        <f t="shared" ca="1" si="0"/>
        <v>24</v>
      </c>
    </row>
    <row r="52" spans="1:13" x14ac:dyDescent="0.3">
      <c r="A52" s="49" t="s">
        <v>193</v>
      </c>
      <c r="B52" s="49" t="s">
        <v>106</v>
      </c>
      <c r="C52" s="50">
        <v>78559</v>
      </c>
      <c r="D52" s="51">
        <v>74533</v>
      </c>
      <c r="E52" s="52">
        <v>7194106437</v>
      </c>
      <c r="F52" s="43" t="s">
        <v>91</v>
      </c>
      <c r="G52" s="53">
        <v>57896</v>
      </c>
      <c r="H52" s="54" t="s">
        <v>76</v>
      </c>
      <c r="I52" s="54" t="s">
        <v>80</v>
      </c>
      <c r="J52" s="55" t="s">
        <v>72</v>
      </c>
      <c r="K52" s="54" t="s">
        <v>106</v>
      </c>
      <c r="L52" s="56">
        <f>37753+(6*364)</f>
        <v>39937</v>
      </c>
      <c r="M52" s="43">
        <f t="shared" ca="1" si="0"/>
        <v>16</v>
      </c>
    </row>
    <row r="53" spans="1:13" x14ac:dyDescent="0.3">
      <c r="A53" s="49" t="s">
        <v>194</v>
      </c>
      <c r="B53" s="49" t="s">
        <v>106</v>
      </c>
      <c r="C53" s="50">
        <v>67957</v>
      </c>
      <c r="D53" s="51">
        <v>71312</v>
      </c>
      <c r="E53" s="52">
        <v>5054982487</v>
      </c>
      <c r="F53" s="43"/>
      <c r="G53" s="53">
        <v>38983</v>
      </c>
      <c r="H53" s="54" t="s">
        <v>86</v>
      </c>
      <c r="I53" s="54" t="s">
        <v>195</v>
      </c>
      <c r="J53" s="55" t="s">
        <v>78</v>
      </c>
      <c r="K53" s="54" t="s">
        <v>128</v>
      </c>
      <c r="L53" s="56">
        <f>37375+(6*364)</f>
        <v>39559</v>
      </c>
      <c r="M53" s="43">
        <f t="shared" ca="1" si="0"/>
        <v>17</v>
      </c>
    </row>
    <row r="54" spans="1:13" x14ac:dyDescent="0.3">
      <c r="A54" s="49" t="s">
        <v>196</v>
      </c>
      <c r="B54" s="49" t="s">
        <v>106</v>
      </c>
      <c r="C54" s="50">
        <v>15264</v>
      </c>
      <c r="D54" s="51">
        <v>105416</v>
      </c>
      <c r="E54" s="52">
        <v>3033640748</v>
      </c>
      <c r="F54" s="43" t="s">
        <v>98</v>
      </c>
      <c r="G54" s="53">
        <v>67314</v>
      </c>
      <c r="H54" s="54" t="s">
        <v>70</v>
      </c>
      <c r="I54" s="54" t="s">
        <v>197</v>
      </c>
      <c r="J54" s="55" t="s">
        <v>78</v>
      </c>
      <c r="K54" s="54" t="s">
        <v>84</v>
      </c>
      <c r="L54" s="56">
        <f>38864+(6*364)</f>
        <v>41048</v>
      </c>
      <c r="M54" s="43">
        <f t="shared" ca="1" si="0"/>
        <v>13</v>
      </c>
    </row>
    <row r="55" spans="1:13" x14ac:dyDescent="0.3">
      <c r="A55" s="49" t="s">
        <v>198</v>
      </c>
      <c r="B55" s="49" t="s">
        <v>106</v>
      </c>
      <c r="C55" s="50">
        <v>26118</v>
      </c>
      <c r="D55" s="51">
        <v>119182</v>
      </c>
      <c r="E55" s="52">
        <v>3034983657</v>
      </c>
      <c r="F55" s="43" t="s">
        <v>98</v>
      </c>
      <c r="G55" s="53">
        <v>87165</v>
      </c>
      <c r="H55" s="54" t="s">
        <v>70</v>
      </c>
      <c r="I55" s="54" t="s">
        <v>199</v>
      </c>
      <c r="J55" s="55" t="s">
        <v>100</v>
      </c>
      <c r="K55" s="54" t="s">
        <v>172</v>
      </c>
      <c r="L55" s="56">
        <f>35378+(6*364)</f>
        <v>37562</v>
      </c>
      <c r="M55" s="43">
        <f t="shared" ca="1" si="0"/>
        <v>23</v>
      </c>
    </row>
    <row r="56" spans="1:13" x14ac:dyDescent="0.3">
      <c r="A56" s="49" t="s">
        <v>200</v>
      </c>
      <c r="B56" s="49" t="s">
        <v>106</v>
      </c>
      <c r="C56" s="50">
        <v>90615</v>
      </c>
      <c r="D56" s="51">
        <v>100322</v>
      </c>
      <c r="E56" s="52">
        <v>3035035104</v>
      </c>
      <c r="F56" s="43"/>
      <c r="G56" s="53">
        <v>71153</v>
      </c>
      <c r="H56" s="54" t="s">
        <v>86</v>
      </c>
      <c r="I56" s="54" t="s">
        <v>201</v>
      </c>
      <c r="J56" s="55" t="s">
        <v>83</v>
      </c>
      <c r="K56" s="54" t="s">
        <v>172</v>
      </c>
      <c r="L56" s="56">
        <f>35472+(6*364)</f>
        <v>37656</v>
      </c>
      <c r="M56" s="43">
        <f t="shared" ca="1" si="0"/>
        <v>22</v>
      </c>
    </row>
    <row r="57" spans="1:13" x14ac:dyDescent="0.3">
      <c r="A57" s="49" t="s">
        <v>202</v>
      </c>
      <c r="B57" s="49" t="s">
        <v>106</v>
      </c>
      <c r="C57" s="50">
        <v>89662</v>
      </c>
      <c r="D57" s="51">
        <v>80180</v>
      </c>
      <c r="E57" s="52">
        <v>3034331646</v>
      </c>
      <c r="F57" s="43" t="s">
        <v>91</v>
      </c>
      <c r="G57" s="53">
        <v>69107</v>
      </c>
      <c r="H57" s="54" t="s">
        <v>70</v>
      </c>
      <c r="I57" s="54" t="s">
        <v>203</v>
      </c>
      <c r="J57" s="55" t="s">
        <v>78</v>
      </c>
      <c r="K57" s="54" t="s">
        <v>204</v>
      </c>
      <c r="L57" s="56">
        <f>35512+(6*364)</f>
        <v>37696</v>
      </c>
      <c r="M57" s="43">
        <f t="shared" ca="1" si="0"/>
        <v>22</v>
      </c>
    </row>
    <row r="58" spans="1:13" x14ac:dyDescent="0.3">
      <c r="A58" s="49" t="s">
        <v>205</v>
      </c>
      <c r="B58" s="49" t="s">
        <v>106</v>
      </c>
      <c r="C58" s="50">
        <v>43736</v>
      </c>
      <c r="D58" s="51">
        <v>126124</v>
      </c>
      <c r="E58" s="52">
        <v>7194323329</v>
      </c>
      <c r="F58" s="43" t="s">
        <v>98</v>
      </c>
      <c r="G58" s="53">
        <v>58694</v>
      </c>
      <c r="H58" s="54" t="s">
        <v>70</v>
      </c>
      <c r="I58" s="54" t="s">
        <v>206</v>
      </c>
      <c r="J58" s="55" t="s">
        <v>88</v>
      </c>
      <c r="K58" s="54" t="s">
        <v>73</v>
      </c>
      <c r="L58" s="56">
        <f>35041+(6*364)</f>
        <v>37225</v>
      </c>
      <c r="M58" s="43">
        <f t="shared" ca="1" si="0"/>
        <v>24</v>
      </c>
    </row>
    <row r="59" spans="1:13" x14ac:dyDescent="0.3">
      <c r="A59" s="49" t="s">
        <v>207</v>
      </c>
      <c r="B59" s="49" t="s">
        <v>106</v>
      </c>
      <c r="C59" s="50">
        <v>77205</v>
      </c>
      <c r="D59" s="51">
        <v>119517</v>
      </c>
      <c r="E59" s="52">
        <v>7198310129</v>
      </c>
      <c r="F59" s="43" t="s">
        <v>98</v>
      </c>
      <c r="G59" s="53">
        <v>63237</v>
      </c>
      <c r="H59" s="54" t="s">
        <v>70</v>
      </c>
      <c r="I59" s="54" t="s">
        <v>208</v>
      </c>
      <c r="J59" s="55" t="s">
        <v>72</v>
      </c>
      <c r="K59" s="54" t="s">
        <v>79</v>
      </c>
      <c r="L59" s="56">
        <f>39734+(6*364)</f>
        <v>41918</v>
      </c>
      <c r="M59" s="43">
        <f t="shared" ca="1" si="0"/>
        <v>11</v>
      </c>
    </row>
    <row r="60" spans="1:13" x14ac:dyDescent="0.3">
      <c r="A60" s="49" t="s">
        <v>209</v>
      </c>
      <c r="B60" s="49" t="s">
        <v>106</v>
      </c>
      <c r="C60" s="50">
        <v>45208</v>
      </c>
      <c r="D60" s="51">
        <v>136587</v>
      </c>
      <c r="E60" s="52">
        <v>5056712695</v>
      </c>
      <c r="F60" s="43" t="s">
        <v>98</v>
      </c>
      <c r="G60" s="53">
        <v>72383</v>
      </c>
      <c r="H60" s="54" t="s">
        <v>76</v>
      </c>
      <c r="I60" s="54" t="s">
        <v>210</v>
      </c>
      <c r="J60" s="55" t="s">
        <v>153</v>
      </c>
      <c r="K60" s="54" t="s">
        <v>79</v>
      </c>
      <c r="L60" s="56">
        <f>41459+(6*364)</f>
        <v>43643</v>
      </c>
      <c r="M60" s="43">
        <f t="shared" ca="1" si="0"/>
        <v>6</v>
      </c>
    </row>
    <row r="61" spans="1:13" x14ac:dyDescent="0.3">
      <c r="A61" s="49" t="s">
        <v>211</v>
      </c>
      <c r="B61" s="49" t="s">
        <v>106</v>
      </c>
      <c r="C61" s="50">
        <v>48870</v>
      </c>
      <c r="D61" s="51">
        <v>115385</v>
      </c>
      <c r="E61" s="52">
        <v>3035394899</v>
      </c>
      <c r="F61" s="43" t="s">
        <v>98</v>
      </c>
      <c r="G61" s="53">
        <v>128497</v>
      </c>
      <c r="H61" s="54" t="s">
        <v>76</v>
      </c>
      <c r="I61" s="54" t="s">
        <v>176</v>
      </c>
      <c r="J61" s="55" t="s">
        <v>88</v>
      </c>
      <c r="K61" s="54" t="s">
        <v>159</v>
      </c>
      <c r="L61" s="56">
        <f>42076+(6*364)</f>
        <v>44260</v>
      </c>
      <c r="M61" s="43">
        <f t="shared" ca="1" si="0"/>
        <v>4</v>
      </c>
    </row>
    <row r="62" spans="1:13" x14ac:dyDescent="0.3">
      <c r="A62" s="49" t="s">
        <v>212</v>
      </c>
      <c r="B62" s="49" t="s">
        <v>106</v>
      </c>
      <c r="C62" s="50">
        <v>19735</v>
      </c>
      <c r="D62" s="51">
        <v>77073</v>
      </c>
      <c r="E62" s="52">
        <v>3034629972</v>
      </c>
      <c r="F62" s="43" t="s">
        <v>75</v>
      </c>
      <c r="G62" s="53">
        <v>100615</v>
      </c>
      <c r="H62" s="54" t="s">
        <v>70</v>
      </c>
      <c r="I62" s="54" t="s">
        <v>213</v>
      </c>
      <c r="J62" s="55" t="s">
        <v>72</v>
      </c>
      <c r="K62" s="54" t="s">
        <v>93</v>
      </c>
      <c r="L62" s="56">
        <f>37617+(6*364)</f>
        <v>39801</v>
      </c>
      <c r="M62" s="43">
        <f t="shared" ca="1" si="0"/>
        <v>16</v>
      </c>
    </row>
    <row r="63" spans="1:13" x14ac:dyDescent="0.3">
      <c r="A63" s="49" t="s">
        <v>214</v>
      </c>
      <c r="B63" s="49" t="s">
        <v>106</v>
      </c>
      <c r="C63" s="50">
        <v>76481</v>
      </c>
      <c r="D63" s="51">
        <v>129151</v>
      </c>
      <c r="E63" s="52">
        <v>5058545681</v>
      </c>
      <c r="F63" s="43" t="s">
        <v>81</v>
      </c>
      <c r="G63" s="53">
        <v>55393</v>
      </c>
      <c r="H63" s="54" t="s">
        <v>70</v>
      </c>
      <c r="I63" s="54" t="s">
        <v>215</v>
      </c>
      <c r="J63" s="55" t="s">
        <v>78</v>
      </c>
      <c r="K63" s="54" t="s">
        <v>89</v>
      </c>
      <c r="L63" s="56">
        <f>40657+(6*364)</f>
        <v>42841</v>
      </c>
      <c r="M63" s="43">
        <f t="shared" ca="1" si="0"/>
        <v>8</v>
      </c>
    </row>
    <row r="64" spans="1:13" x14ac:dyDescent="0.3">
      <c r="A64" s="49" t="s">
        <v>216</v>
      </c>
      <c r="B64" s="49" t="s">
        <v>106</v>
      </c>
      <c r="C64" s="50">
        <v>34262</v>
      </c>
      <c r="D64" s="51">
        <v>66166</v>
      </c>
      <c r="E64" s="52">
        <v>9701162663</v>
      </c>
      <c r="F64" s="43"/>
      <c r="G64" s="53">
        <v>64329</v>
      </c>
      <c r="H64" s="54" t="s">
        <v>86</v>
      </c>
      <c r="I64" s="54" t="s">
        <v>217</v>
      </c>
      <c r="J64" s="55" t="s">
        <v>88</v>
      </c>
      <c r="K64" s="54" t="s">
        <v>89</v>
      </c>
      <c r="L64" s="56">
        <f>42498+(6*364)</f>
        <v>44682</v>
      </c>
      <c r="M64" s="43">
        <f t="shared" ca="1" si="0"/>
        <v>3</v>
      </c>
    </row>
    <row r="65" spans="1:13" x14ac:dyDescent="0.3">
      <c r="A65" s="49" t="s">
        <v>218</v>
      </c>
      <c r="B65" s="49" t="s">
        <v>106</v>
      </c>
      <c r="C65" s="50">
        <v>25194</v>
      </c>
      <c r="D65" s="51">
        <v>95432</v>
      </c>
      <c r="E65" s="52">
        <v>7192259651</v>
      </c>
      <c r="F65" s="43"/>
      <c r="G65" s="53">
        <v>38970</v>
      </c>
      <c r="H65" s="54" t="s">
        <v>86</v>
      </c>
      <c r="I65" s="54" t="s">
        <v>219</v>
      </c>
      <c r="J65" s="55" t="s">
        <v>72</v>
      </c>
      <c r="K65" s="54" t="s">
        <v>189</v>
      </c>
      <c r="L65" s="56">
        <f>41071+(6*364)</f>
        <v>43255</v>
      </c>
      <c r="M65" s="43">
        <f t="shared" ca="1" si="0"/>
        <v>7</v>
      </c>
    </row>
    <row r="66" spans="1:13" x14ac:dyDescent="0.3">
      <c r="A66" s="49" t="s">
        <v>220</v>
      </c>
      <c r="B66" s="49" t="s">
        <v>106</v>
      </c>
      <c r="C66" s="50">
        <v>37084</v>
      </c>
      <c r="D66" s="51">
        <v>52692</v>
      </c>
      <c r="E66" s="52">
        <v>9706443692</v>
      </c>
      <c r="F66" s="43"/>
      <c r="G66" s="53">
        <v>90901</v>
      </c>
      <c r="H66" s="54" t="s">
        <v>86</v>
      </c>
      <c r="I66" s="54" t="s">
        <v>221</v>
      </c>
      <c r="J66" s="55" t="s">
        <v>153</v>
      </c>
      <c r="K66" s="54" t="s">
        <v>89</v>
      </c>
      <c r="L66" s="56">
        <f>36189+(6*364)</f>
        <v>38373</v>
      </c>
      <c r="M66" s="43">
        <f t="shared" ref="M66:M129" ca="1" si="1">DATEDIF(L66,TODAY(),"Y")</f>
        <v>20</v>
      </c>
    </row>
    <row r="67" spans="1:13" x14ac:dyDescent="0.3">
      <c r="A67" s="49" t="s">
        <v>222</v>
      </c>
      <c r="B67" s="49" t="s">
        <v>106</v>
      </c>
      <c r="C67" s="50">
        <v>80293</v>
      </c>
      <c r="D67" s="51">
        <v>131015</v>
      </c>
      <c r="E67" s="52">
        <v>7197194901</v>
      </c>
      <c r="F67" s="43" t="s">
        <v>98</v>
      </c>
      <c r="G67" s="53">
        <v>94214</v>
      </c>
      <c r="H67" s="54" t="s">
        <v>70</v>
      </c>
      <c r="I67" s="54" t="s">
        <v>223</v>
      </c>
      <c r="J67" s="55" t="s">
        <v>78</v>
      </c>
      <c r="K67" s="54" t="s">
        <v>89</v>
      </c>
      <c r="L67" s="56">
        <f>36465+(6*364)</f>
        <v>38649</v>
      </c>
      <c r="M67" s="43">
        <f t="shared" ca="1" si="1"/>
        <v>20</v>
      </c>
    </row>
    <row r="68" spans="1:13" x14ac:dyDescent="0.3">
      <c r="A68" s="49" t="s">
        <v>224</v>
      </c>
      <c r="B68" s="49" t="s">
        <v>106</v>
      </c>
      <c r="C68" s="50">
        <v>78834</v>
      </c>
      <c r="D68" s="51">
        <v>98793</v>
      </c>
      <c r="E68" s="52">
        <v>9704249228</v>
      </c>
      <c r="F68" s="43" t="s">
        <v>75</v>
      </c>
      <c r="G68" s="53">
        <v>108519</v>
      </c>
      <c r="H68" s="54" t="s">
        <v>70</v>
      </c>
      <c r="I68" s="54" t="s">
        <v>225</v>
      </c>
      <c r="J68" s="55" t="s">
        <v>72</v>
      </c>
      <c r="K68" s="54" t="s">
        <v>89</v>
      </c>
      <c r="L68" s="56">
        <f>42527+(6*364)</f>
        <v>44711</v>
      </c>
      <c r="M68" s="43">
        <f t="shared" ca="1" si="1"/>
        <v>3</v>
      </c>
    </row>
    <row r="69" spans="1:13" x14ac:dyDescent="0.3">
      <c r="A69" s="49" t="s">
        <v>226</v>
      </c>
      <c r="B69" s="49" t="s">
        <v>106</v>
      </c>
      <c r="C69" s="50">
        <v>70048</v>
      </c>
      <c r="D69" s="51">
        <v>134681</v>
      </c>
      <c r="E69" s="52">
        <v>9708439277</v>
      </c>
      <c r="F69" s="43" t="s">
        <v>98</v>
      </c>
      <c r="G69" s="53">
        <v>51171</v>
      </c>
      <c r="H69" s="54" t="s">
        <v>70</v>
      </c>
      <c r="I69" s="54" t="s">
        <v>227</v>
      </c>
      <c r="J69" s="55" t="s">
        <v>78</v>
      </c>
      <c r="K69" s="54" t="s">
        <v>84</v>
      </c>
      <c r="L69" s="56">
        <f>39062+(6*364)</f>
        <v>41246</v>
      </c>
      <c r="M69" s="43">
        <f t="shared" ca="1" si="1"/>
        <v>13</v>
      </c>
    </row>
    <row r="70" spans="1:13" x14ac:dyDescent="0.3">
      <c r="A70" s="49" t="s">
        <v>228</v>
      </c>
      <c r="B70" s="49" t="s">
        <v>106</v>
      </c>
      <c r="C70" s="50">
        <v>15718</v>
      </c>
      <c r="D70" s="51">
        <v>77577</v>
      </c>
      <c r="E70" s="52">
        <v>3032375580</v>
      </c>
      <c r="F70" s="43" t="s">
        <v>98</v>
      </c>
      <c r="G70" s="53">
        <v>63147</v>
      </c>
      <c r="H70" s="54" t="s">
        <v>70</v>
      </c>
      <c r="I70" s="54" t="s">
        <v>229</v>
      </c>
      <c r="J70" s="55" t="s">
        <v>72</v>
      </c>
      <c r="K70" s="54" t="s">
        <v>204</v>
      </c>
      <c r="L70" s="56">
        <f>35036+(6*364)</f>
        <v>37220</v>
      </c>
      <c r="M70" s="43">
        <f t="shared" ca="1" si="1"/>
        <v>24</v>
      </c>
    </row>
    <row r="71" spans="1:13" x14ac:dyDescent="0.3">
      <c r="A71" s="49" t="s">
        <v>230</v>
      </c>
      <c r="B71" s="49" t="s">
        <v>106</v>
      </c>
      <c r="C71" s="50">
        <v>36189</v>
      </c>
      <c r="D71" s="51">
        <v>67886</v>
      </c>
      <c r="E71" s="52">
        <v>7197038033</v>
      </c>
      <c r="F71" s="43" t="s">
        <v>91</v>
      </c>
      <c r="G71" s="53">
        <v>68707</v>
      </c>
      <c r="H71" s="54" t="s">
        <v>70</v>
      </c>
      <c r="I71" s="54" t="s">
        <v>231</v>
      </c>
      <c r="J71" s="55" t="s">
        <v>83</v>
      </c>
      <c r="K71" s="54" t="s">
        <v>175</v>
      </c>
      <c r="L71" s="56">
        <f>42237+(6*364)</f>
        <v>44421</v>
      </c>
      <c r="M71" s="43">
        <f t="shared" ca="1" si="1"/>
        <v>4</v>
      </c>
    </row>
    <row r="72" spans="1:13" x14ac:dyDescent="0.3">
      <c r="A72" s="49" t="s">
        <v>232</v>
      </c>
      <c r="B72" s="49" t="s">
        <v>106</v>
      </c>
      <c r="C72" s="50">
        <v>68833</v>
      </c>
      <c r="D72" s="51">
        <v>42039</v>
      </c>
      <c r="E72" s="52">
        <v>9704045531</v>
      </c>
      <c r="F72" s="43" t="s">
        <v>81</v>
      </c>
      <c r="G72" s="53">
        <v>101130</v>
      </c>
      <c r="H72" s="54" t="s">
        <v>70</v>
      </c>
      <c r="I72" s="54" t="s">
        <v>180</v>
      </c>
      <c r="J72" s="55" t="s">
        <v>72</v>
      </c>
      <c r="K72" s="54" t="s">
        <v>172</v>
      </c>
      <c r="L72" s="56">
        <f>42505+(6*364)</f>
        <v>44689</v>
      </c>
      <c r="M72" s="43">
        <f t="shared" ca="1" si="1"/>
        <v>3</v>
      </c>
    </row>
    <row r="73" spans="1:13" x14ac:dyDescent="0.3">
      <c r="A73" s="49" t="s">
        <v>233</v>
      </c>
      <c r="B73" s="49" t="s">
        <v>106</v>
      </c>
      <c r="C73" s="50">
        <v>27471</v>
      </c>
      <c r="D73" s="51">
        <v>118571</v>
      </c>
      <c r="E73" s="52">
        <v>9706422185</v>
      </c>
      <c r="F73" s="43" t="s">
        <v>81</v>
      </c>
      <c r="G73" s="53">
        <v>117883</v>
      </c>
      <c r="H73" s="54" t="s">
        <v>70</v>
      </c>
      <c r="I73" s="54" t="s">
        <v>234</v>
      </c>
      <c r="J73" s="55" t="s">
        <v>83</v>
      </c>
      <c r="K73" s="54" t="s">
        <v>79</v>
      </c>
      <c r="L73" s="56">
        <f>39377+(6*364)</f>
        <v>41561</v>
      </c>
      <c r="M73" s="43">
        <f t="shared" ca="1" si="1"/>
        <v>12</v>
      </c>
    </row>
    <row r="74" spans="1:13" x14ac:dyDescent="0.3">
      <c r="A74" s="49" t="s">
        <v>235</v>
      </c>
      <c r="B74" s="49" t="s">
        <v>106</v>
      </c>
      <c r="C74" s="50">
        <v>39128</v>
      </c>
      <c r="D74" s="51">
        <v>53084</v>
      </c>
      <c r="E74" s="52">
        <v>9702824485</v>
      </c>
      <c r="F74" s="43" t="s">
        <v>91</v>
      </c>
      <c r="G74" s="53">
        <v>88987</v>
      </c>
      <c r="H74" s="54" t="s">
        <v>70</v>
      </c>
      <c r="I74" s="54" t="s">
        <v>236</v>
      </c>
      <c r="J74" s="55" t="s">
        <v>72</v>
      </c>
      <c r="K74" s="54" t="s">
        <v>89</v>
      </c>
      <c r="L74" s="56">
        <f>38346+(6*364)</f>
        <v>40530</v>
      </c>
      <c r="M74" s="43">
        <f t="shared" ca="1" si="1"/>
        <v>14</v>
      </c>
    </row>
    <row r="75" spans="1:13" x14ac:dyDescent="0.3">
      <c r="A75" s="49" t="s">
        <v>237</v>
      </c>
      <c r="B75" s="49" t="s">
        <v>106</v>
      </c>
      <c r="C75" s="50">
        <v>34568</v>
      </c>
      <c r="D75" s="51">
        <v>73814</v>
      </c>
      <c r="E75" s="52">
        <v>5051544288</v>
      </c>
      <c r="F75" s="43" t="s">
        <v>69</v>
      </c>
      <c r="G75" s="53">
        <v>78663</v>
      </c>
      <c r="H75" s="54" t="s">
        <v>70</v>
      </c>
      <c r="I75" s="54" t="s">
        <v>238</v>
      </c>
      <c r="J75" s="55" t="s">
        <v>83</v>
      </c>
      <c r="K75" s="54" t="s">
        <v>172</v>
      </c>
      <c r="L75" s="56">
        <f>35814+(6*364)</f>
        <v>37998</v>
      </c>
      <c r="M75" s="43">
        <f t="shared" ca="1" si="1"/>
        <v>21</v>
      </c>
    </row>
    <row r="76" spans="1:13" x14ac:dyDescent="0.3">
      <c r="A76" s="49" t="s">
        <v>239</v>
      </c>
      <c r="B76" s="49" t="s">
        <v>106</v>
      </c>
      <c r="C76" s="50">
        <v>35768</v>
      </c>
      <c r="D76" s="51">
        <v>71727</v>
      </c>
      <c r="E76" s="52">
        <v>3037775023</v>
      </c>
      <c r="F76" s="43"/>
      <c r="G76" s="53">
        <v>77349</v>
      </c>
      <c r="H76" s="54" t="s">
        <v>86</v>
      </c>
      <c r="I76" s="54" t="s">
        <v>240</v>
      </c>
      <c r="J76" s="55" t="s">
        <v>72</v>
      </c>
      <c r="K76" s="54" t="s">
        <v>93</v>
      </c>
      <c r="L76" s="56">
        <f>35497+(6*364)</f>
        <v>37681</v>
      </c>
      <c r="M76" s="43">
        <f t="shared" ca="1" si="1"/>
        <v>22</v>
      </c>
    </row>
    <row r="77" spans="1:13" x14ac:dyDescent="0.3">
      <c r="A77" s="49" t="s">
        <v>241</v>
      </c>
      <c r="B77" s="49" t="s">
        <v>106</v>
      </c>
      <c r="C77" s="50">
        <v>12512</v>
      </c>
      <c r="D77" s="51">
        <v>67318</v>
      </c>
      <c r="E77" s="52">
        <v>9708097539</v>
      </c>
      <c r="F77" s="43"/>
      <c r="G77" s="53">
        <v>96705</v>
      </c>
      <c r="H77" s="54" t="s">
        <v>108</v>
      </c>
      <c r="I77" s="54" t="s">
        <v>242</v>
      </c>
      <c r="J77" s="55" t="s">
        <v>72</v>
      </c>
      <c r="K77" s="54" t="s">
        <v>79</v>
      </c>
      <c r="L77" s="56">
        <f>38891+(6*364)</f>
        <v>41075</v>
      </c>
      <c r="M77" s="43">
        <f t="shared" ca="1" si="1"/>
        <v>13</v>
      </c>
    </row>
    <row r="78" spans="1:13" x14ac:dyDescent="0.3">
      <c r="A78" s="49" t="s">
        <v>243</v>
      </c>
      <c r="B78" s="49" t="s">
        <v>106</v>
      </c>
      <c r="C78" s="50">
        <v>20299</v>
      </c>
      <c r="D78" s="51">
        <v>78669</v>
      </c>
      <c r="E78" s="52">
        <v>9705165289</v>
      </c>
      <c r="F78" s="43" t="s">
        <v>98</v>
      </c>
      <c r="G78" s="53">
        <v>126156</v>
      </c>
      <c r="H78" s="54" t="s">
        <v>70</v>
      </c>
      <c r="I78" s="54" t="s">
        <v>244</v>
      </c>
      <c r="J78" s="55" t="s">
        <v>72</v>
      </c>
      <c r="K78" s="54" t="s">
        <v>73</v>
      </c>
      <c r="L78" s="56">
        <f>39565+(6*364)</f>
        <v>41749</v>
      </c>
      <c r="M78" s="43">
        <f t="shared" ca="1" si="1"/>
        <v>11</v>
      </c>
    </row>
    <row r="79" spans="1:13" x14ac:dyDescent="0.3">
      <c r="A79" s="49" t="s">
        <v>245</v>
      </c>
      <c r="B79" s="49" t="s">
        <v>106</v>
      </c>
      <c r="C79" s="50">
        <v>55502</v>
      </c>
      <c r="D79" s="51">
        <v>60987</v>
      </c>
      <c r="E79" s="52">
        <v>9706607355</v>
      </c>
      <c r="F79" s="43"/>
      <c r="G79" s="53">
        <v>39739</v>
      </c>
      <c r="H79" s="54" t="s">
        <v>86</v>
      </c>
      <c r="I79" s="54" t="s">
        <v>246</v>
      </c>
      <c r="J79" s="55" t="s">
        <v>88</v>
      </c>
      <c r="K79" s="54" t="s">
        <v>89</v>
      </c>
      <c r="L79" s="56">
        <f>37920+(6*364)</f>
        <v>40104</v>
      </c>
      <c r="M79" s="43">
        <f t="shared" ca="1" si="1"/>
        <v>16</v>
      </c>
    </row>
    <row r="80" spans="1:13" x14ac:dyDescent="0.3">
      <c r="A80" s="49" t="s">
        <v>21</v>
      </c>
      <c r="B80" s="49" t="s">
        <v>106</v>
      </c>
      <c r="C80" s="50">
        <v>96320</v>
      </c>
      <c r="D80" s="51">
        <v>111324</v>
      </c>
      <c r="E80" s="52">
        <v>7195832994</v>
      </c>
      <c r="F80" s="43" t="s">
        <v>98</v>
      </c>
      <c r="G80" s="53">
        <v>89888</v>
      </c>
      <c r="H80" s="54" t="s">
        <v>70</v>
      </c>
      <c r="I80" s="54" t="s">
        <v>248</v>
      </c>
      <c r="J80" s="55" t="s">
        <v>78</v>
      </c>
      <c r="K80" s="54" t="s">
        <v>158</v>
      </c>
      <c r="L80" s="56">
        <f>35371+(6*364)</f>
        <v>37555</v>
      </c>
      <c r="M80" s="43">
        <f t="shared" ca="1" si="1"/>
        <v>23</v>
      </c>
    </row>
    <row r="81" spans="1:13" x14ac:dyDescent="0.3">
      <c r="A81" s="49" t="s">
        <v>252</v>
      </c>
      <c r="B81" s="49" t="s">
        <v>106</v>
      </c>
      <c r="C81" s="50">
        <v>47828</v>
      </c>
      <c r="D81" s="51">
        <v>131597</v>
      </c>
      <c r="E81" s="52">
        <v>9708213594</v>
      </c>
      <c r="F81" s="43" t="s">
        <v>91</v>
      </c>
      <c r="G81" s="53">
        <v>38706</v>
      </c>
      <c r="H81" s="54" t="s">
        <v>70</v>
      </c>
      <c r="I81" s="54" t="s">
        <v>250</v>
      </c>
      <c r="J81" s="55" t="s">
        <v>78</v>
      </c>
      <c r="K81" s="54" t="s">
        <v>73</v>
      </c>
      <c r="L81" s="56">
        <f>38567+(6*364)</f>
        <v>40751</v>
      </c>
      <c r="M81" s="43">
        <f t="shared" ca="1" si="1"/>
        <v>14</v>
      </c>
    </row>
    <row r="82" spans="1:13" x14ac:dyDescent="0.3">
      <c r="A82" s="49" t="s">
        <v>254</v>
      </c>
      <c r="B82" s="49" t="s">
        <v>106</v>
      </c>
      <c r="C82" s="50">
        <v>22591</v>
      </c>
      <c r="D82" s="51">
        <v>133635</v>
      </c>
      <c r="E82" s="52">
        <v>7191375297</v>
      </c>
      <c r="F82" s="43" t="s">
        <v>75</v>
      </c>
      <c r="G82" s="53">
        <v>49814</v>
      </c>
      <c r="H82" s="54" t="s">
        <v>70</v>
      </c>
      <c r="I82" s="54" t="s">
        <v>251</v>
      </c>
      <c r="J82" s="55" t="s">
        <v>100</v>
      </c>
      <c r="K82" s="54" t="s">
        <v>103</v>
      </c>
      <c r="L82" s="56">
        <f>42544+(6*364)</f>
        <v>44728</v>
      </c>
      <c r="M82" s="43">
        <f t="shared" ca="1" si="1"/>
        <v>3</v>
      </c>
    </row>
    <row r="83" spans="1:13" x14ac:dyDescent="0.3">
      <c r="A83" s="49" t="s">
        <v>256</v>
      </c>
      <c r="B83" s="49" t="s">
        <v>106</v>
      </c>
      <c r="C83" s="50">
        <v>46256</v>
      </c>
      <c r="D83" s="51">
        <v>103961</v>
      </c>
      <c r="E83" s="52">
        <v>9703533906</v>
      </c>
      <c r="F83" s="43" t="s">
        <v>91</v>
      </c>
      <c r="G83" s="53">
        <v>76087</v>
      </c>
      <c r="H83" s="54" t="s">
        <v>70</v>
      </c>
      <c r="I83" s="54" t="s">
        <v>253</v>
      </c>
      <c r="J83" s="55" t="s">
        <v>72</v>
      </c>
      <c r="K83" s="54" t="s">
        <v>79</v>
      </c>
      <c r="L83" s="56">
        <f>41652+(6*364)</f>
        <v>43836</v>
      </c>
      <c r="M83" s="43">
        <f t="shared" ca="1" si="1"/>
        <v>5</v>
      </c>
    </row>
    <row r="84" spans="1:13" x14ac:dyDescent="0.3">
      <c r="A84" s="49" t="s">
        <v>258</v>
      </c>
      <c r="B84" s="49" t="s">
        <v>106</v>
      </c>
      <c r="C84" s="50">
        <v>20492</v>
      </c>
      <c r="D84" s="51">
        <v>127507</v>
      </c>
      <c r="E84" s="52">
        <v>7197045091</v>
      </c>
      <c r="F84" s="43" t="s">
        <v>81</v>
      </c>
      <c r="G84" s="53">
        <v>50047</v>
      </c>
      <c r="H84" s="54" t="s">
        <v>70</v>
      </c>
      <c r="I84" s="54" t="s">
        <v>255</v>
      </c>
      <c r="J84" s="55" t="s">
        <v>78</v>
      </c>
      <c r="K84" s="54" t="s">
        <v>89</v>
      </c>
      <c r="L84" s="56">
        <f>41754+(6*364)</f>
        <v>43938</v>
      </c>
      <c r="M84" s="43">
        <f t="shared" ca="1" si="1"/>
        <v>5</v>
      </c>
    </row>
    <row r="85" spans="1:13" x14ac:dyDescent="0.3">
      <c r="A85" s="49" t="s">
        <v>260</v>
      </c>
      <c r="B85" s="49" t="s">
        <v>106</v>
      </c>
      <c r="C85" s="50">
        <v>85017</v>
      </c>
      <c r="D85" s="51">
        <v>97062</v>
      </c>
      <c r="E85" s="52">
        <v>9702842668</v>
      </c>
      <c r="F85" s="43" t="s">
        <v>75</v>
      </c>
      <c r="G85" s="53">
        <v>123391</v>
      </c>
      <c r="H85" s="54" t="s">
        <v>76</v>
      </c>
      <c r="I85" s="54" t="s">
        <v>257</v>
      </c>
      <c r="J85" s="55" t="s">
        <v>72</v>
      </c>
      <c r="K85" s="54" t="s">
        <v>79</v>
      </c>
      <c r="L85" s="56">
        <f>38842+(6*364)</f>
        <v>41026</v>
      </c>
      <c r="M85" s="43">
        <f t="shared" ca="1" si="1"/>
        <v>13</v>
      </c>
    </row>
    <row r="86" spans="1:13" x14ac:dyDescent="0.3">
      <c r="A86" s="49" t="s">
        <v>262</v>
      </c>
      <c r="B86" s="49" t="s">
        <v>106</v>
      </c>
      <c r="C86" s="50">
        <v>58562</v>
      </c>
      <c r="D86" s="51">
        <v>50848</v>
      </c>
      <c r="E86" s="52">
        <v>7192523567</v>
      </c>
      <c r="F86" s="43"/>
      <c r="G86" s="53">
        <v>66400</v>
      </c>
      <c r="H86" s="54" t="s">
        <v>86</v>
      </c>
      <c r="I86" s="54" t="s">
        <v>259</v>
      </c>
      <c r="J86" s="55" t="s">
        <v>72</v>
      </c>
      <c r="K86" s="54" t="s">
        <v>136</v>
      </c>
      <c r="L86" s="56">
        <f>38138+(6*364)</f>
        <v>40322</v>
      </c>
      <c r="M86" s="43">
        <f t="shared" ca="1" si="1"/>
        <v>15</v>
      </c>
    </row>
    <row r="87" spans="1:13" x14ac:dyDescent="0.3">
      <c r="A87" s="49" t="s">
        <v>264</v>
      </c>
      <c r="B87" s="49" t="s">
        <v>106</v>
      </c>
      <c r="C87" s="50">
        <v>47530</v>
      </c>
      <c r="D87" s="51">
        <v>88247</v>
      </c>
      <c r="E87" s="52">
        <v>9702485673</v>
      </c>
      <c r="F87" s="43"/>
      <c r="G87" s="53">
        <v>66410</v>
      </c>
      <c r="H87" s="54" t="s">
        <v>86</v>
      </c>
      <c r="I87" s="54" t="s">
        <v>261</v>
      </c>
      <c r="J87" s="55" t="s">
        <v>88</v>
      </c>
      <c r="K87" s="54" t="s">
        <v>93</v>
      </c>
      <c r="L87" s="56">
        <f>39173+(6*364)</f>
        <v>41357</v>
      </c>
      <c r="M87" s="43">
        <f t="shared" ca="1" si="1"/>
        <v>12</v>
      </c>
    </row>
    <row r="88" spans="1:13" x14ac:dyDescent="0.3">
      <c r="A88" s="49" t="s">
        <v>266</v>
      </c>
      <c r="B88" s="49" t="s">
        <v>106</v>
      </c>
      <c r="C88" s="50">
        <v>67209</v>
      </c>
      <c r="D88" s="51">
        <v>122253</v>
      </c>
      <c r="E88" s="52">
        <v>9707358099</v>
      </c>
      <c r="F88" s="43"/>
      <c r="G88" s="53">
        <v>43433</v>
      </c>
      <c r="H88" s="54" t="s">
        <v>86</v>
      </c>
      <c r="I88" s="54" t="s">
        <v>263</v>
      </c>
      <c r="J88" s="55" t="s">
        <v>72</v>
      </c>
      <c r="K88" s="54" t="s">
        <v>189</v>
      </c>
      <c r="L88" s="56">
        <f>42496+(6*364)</f>
        <v>44680</v>
      </c>
      <c r="M88" s="43">
        <f t="shared" ca="1" si="1"/>
        <v>3</v>
      </c>
    </row>
    <row r="89" spans="1:13" x14ac:dyDescent="0.3">
      <c r="A89" s="49" t="s">
        <v>268</v>
      </c>
      <c r="B89" s="49" t="s">
        <v>106</v>
      </c>
      <c r="C89" s="50">
        <v>34430</v>
      </c>
      <c r="D89" s="51">
        <v>66995</v>
      </c>
      <c r="E89" s="52">
        <v>3036060038</v>
      </c>
      <c r="F89" s="43" t="s">
        <v>75</v>
      </c>
      <c r="G89" s="53">
        <v>64283</v>
      </c>
      <c r="H89" s="54" t="s">
        <v>70</v>
      </c>
      <c r="I89" s="54" t="s">
        <v>265</v>
      </c>
      <c r="J89" s="55" t="s">
        <v>153</v>
      </c>
      <c r="K89" s="54" t="s">
        <v>172</v>
      </c>
      <c r="L89" s="56">
        <f>37766+(6*364)</f>
        <v>39950</v>
      </c>
      <c r="M89" s="43">
        <f t="shared" ca="1" si="1"/>
        <v>16</v>
      </c>
    </row>
    <row r="90" spans="1:13" x14ac:dyDescent="0.3">
      <c r="A90" s="49" t="s">
        <v>270</v>
      </c>
      <c r="B90" s="49" t="s">
        <v>106</v>
      </c>
      <c r="C90" s="50">
        <v>84562</v>
      </c>
      <c r="D90" s="51">
        <v>62979</v>
      </c>
      <c r="E90" s="52">
        <v>7195012757</v>
      </c>
      <c r="F90" s="43"/>
      <c r="G90" s="53">
        <v>98317</v>
      </c>
      <c r="H90" s="54" t="s">
        <v>86</v>
      </c>
      <c r="I90" s="54" t="s">
        <v>267</v>
      </c>
      <c r="J90" s="55" t="s">
        <v>78</v>
      </c>
      <c r="K90" s="54" t="s">
        <v>106</v>
      </c>
      <c r="L90" s="56">
        <f>40964+(6*364)</f>
        <v>43148</v>
      </c>
      <c r="M90" s="43">
        <f t="shared" ca="1" si="1"/>
        <v>7</v>
      </c>
    </row>
    <row r="91" spans="1:13" x14ac:dyDescent="0.3">
      <c r="A91" s="49" t="s">
        <v>272</v>
      </c>
      <c r="B91" s="49" t="s">
        <v>106</v>
      </c>
      <c r="C91" s="50">
        <v>45784</v>
      </c>
      <c r="D91" s="51">
        <v>52474</v>
      </c>
      <c r="E91" s="52">
        <v>7194252315</v>
      </c>
      <c r="F91" s="43" t="s">
        <v>75</v>
      </c>
      <c r="G91" s="53">
        <v>54749</v>
      </c>
      <c r="H91" s="54" t="s">
        <v>70</v>
      </c>
      <c r="I91" s="54" t="s">
        <v>269</v>
      </c>
      <c r="J91" s="55" t="s">
        <v>78</v>
      </c>
      <c r="K91" s="54" t="s">
        <v>84</v>
      </c>
      <c r="L91" s="56">
        <f>38116+(6*364)</f>
        <v>40300</v>
      </c>
      <c r="M91" s="43">
        <f t="shared" ca="1" si="1"/>
        <v>15</v>
      </c>
    </row>
    <row r="92" spans="1:13" x14ac:dyDescent="0.3">
      <c r="A92" s="49" t="s">
        <v>274</v>
      </c>
      <c r="B92" s="49" t="s">
        <v>106</v>
      </c>
      <c r="C92" s="50">
        <v>96209</v>
      </c>
      <c r="D92" s="51">
        <v>119866</v>
      </c>
      <c r="E92" s="52">
        <v>5057102355</v>
      </c>
      <c r="F92" s="43" t="s">
        <v>91</v>
      </c>
      <c r="G92" s="53">
        <v>78977</v>
      </c>
      <c r="H92" s="54" t="s">
        <v>70</v>
      </c>
      <c r="I92" s="54" t="s">
        <v>271</v>
      </c>
      <c r="J92" s="55" t="s">
        <v>78</v>
      </c>
      <c r="K92" s="54" t="s">
        <v>89</v>
      </c>
      <c r="L92" s="56">
        <f>42502+(6*364)</f>
        <v>44686</v>
      </c>
      <c r="M92" s="43">
        <f t="shared" ca="1" si="1"/>
        <v>3</v>
      </c>
    </row>
    <row r="93" spans="1:13" x14ac:dyDescent="0.3">
      <c r="A93" s="49" t="s">
        <v>276</v>
      </c>
      <c r="B93" s="49" t="s">
        <v>106</v>
      </c>
      <c r="C93" s="50">
        <v>12906</v>
      </c>
      <c r="D93" s="51">
        <v>115340</v>
      </c>
      <c r="E93" s="52">
        <v>5056132408</v>
      </c>
      <c r="F93" s="43" t="s">
        <v>91</v>
      </c>
      <c r="G93" s="53">
        <v>105683</v>
      </c>
      <c r="H93" s="54" t="s">
        <v>70</v>
      </c>
      <c r="I93" s="54" t="s">
        <v>273</v>
      </c>
      <c r="J93" s="55" t="s">
        <v>88</v>
      </c>
      <c r="K93" s="54" t="s">
        <v>89</v>
      </c>
      <c r="L93" s="56">
        <f>37513+(6*364)</f>
        <v>39697</v>
      </c>
      <c r="M93" s="43">
        <f t="shared" ca="1" si="1"/>
        <v>17</v>
      </c>
    </row>
    <row r="94" spans="1:13" x14ac:dyDescent="0.3">
      <c r="A94" s="49" t="s">
        <v>278</v>
      </c>
      <c r="B94" s="49" t="s">
        <v>106</v>
      </c>
      <c r="C94" s="50">
        <v>37935</v>
      </c>
      <c r="D94" s="51">
        <v>106899</v>
      </c>
      <c r="E94" s="52">
        <v>3036092172</v>
      </c>
      <c r="F94" s="43" t="s">
        <v>91</v>
      </c>
      <c r="G94" s="53">
        <v>78924</v>
      </c>
      <c r="H94" s="54" t="s">
        <v>76</v>
      </c>
      <c r="I94" s="54" t="s">
        <v>275</v>
      </c>
      <c r="J94" s="55" t="s">
        <v>72</v>
      </c>
      <c r="K94" s="54" t="s">
        <v>79</v>
      </c>
      <c r="L94" s="56">
        <f>42447+(6*364)</f>
        <v>44631</v>
      </c>
      <c r="M94" s="43">
        <f t="shared" ca="1" si="1"/>
        <v>3</v>
      </c>
    </row>
    <row r="95" spans="1:13" x14ac:dyDescent="0.3">
      <c r="A95" s="49" t="s">
        <v>162</v>
      </c>
      <c r="B95" s="49" t="s">
        <v>131</v>
      </c>
      <c r="C95" s="50">
        <v>61236</v>
      </c>
      <c r="D95" s="51">
        <v>132543</v>
      </c>
      <c r="E95" s="52">
        <v>3032636516</v>
      </c>
      <c r="F95" s="43"/>
      <c r="G95" s="53">
        <v>55875</v>
      </c>
      <c r="H95" s="54" t="s">
        <v>86</v>
      </c>
      <c r="I95" s="54" t="s">
        <v>277</v>
      </c>
      <c r="J95" s="55" t="s">
        <v>153</v>
      </c>
      <c r="K95" s="54" t="s">
        <v>89</v>
      </c>
      <c r="L95" s="56">
        <f>41272+(6*364)</f>
        <v>43456</v>
      </c>
      <c r="M95" s="43">
        <f t="shared" ca="1" si="1"/>
        <v>6</v>
      </c>
    </row>
    <row r="96" spans="1:13" x14ac:dyDescent="0.3">
      <c r="A96" s="49" t="s">
        <v>195</v>
      </c>
      <c r="B96" s="49" t="s">
        <v>131</v>
      </c>
      <c r="C96" s="50">
        <v>21960</v>
      </c>
      <c r="D96" s="51">
        <v>81615</v>
      </c>
      <c r="E96" s="52">
        <v>3038038161</v>
      </c>
      <c r="F96" s="43"/>
      <c r="G96" s="53">
        <v>127861</v>
      </c>
      <c r="H96" s="54" t="s">
        <v>108</v>
      </c>
      <c r="I96" s="54" t="s">
        <v>279</v>
      </c>
      <c r="J96" s="55" t="s">
        <v>72</v>
      </c>
      <c r="K96" s="54" t="s">
        <v>280</v>
      </c>
      <c r="L96" s="56">
        <f>36449+(6*364)</f>
        <v>38633</v>
      </c>
      <c r="M96" s="43">
        <f t="shared" ca="1" si="1"/>
        <v>20</v>
      </c>
    </row>
    <row r="97" spans="1:13" x14ac:dyDescent="0.3">
      <c r="A97" s="49" t="s">
        <v>283</v>
      </c>
      <c r="B97" s="49" t="s">
        <v>131</v>
      </c>
      <c r="C97" s="50">
        <v>88009</v>
      </c>
      <c r="D97" s="51">
        <v>121380</v>
      </c>
      <c r="E97" s="52">
        <v>5054900514</v>
      </c>
      <c r="F97" s="43" t="s">
        <v>98</v>
      </c>
      <c r="G97" s="53">
        <v>40077</v>
      </c>
      <c r="H97" s="54" t="s">
        <v>70</v>
      </c>
      <c r="I97" s="54" t="s">
        <v>281</v>
      </c>
      <c r="J97" s="55" t="s">
        <v>100</v>
      </c>
      <c r="K97" s="54" t="s">
        <v>79</v>
      </c>
      <c r="L97" s="56">
        <f>38933+(6*364)</f>
        <v>41117</v>
      </c>
      <c r="M97" s="43">
        <f t="shared" ca="1" si="1"/>
        <v>13</v>
      </c>
    </row>
    <row r="98" spans="1:13" x14ac:dyDescent="0.3">
      <c r="A98" s="49" t="s">
        <v>285</v>
      </c>
      <c r="B98" s="49" t="s">
        <v>131</v>
      </c>
      <c r="C98" s="50">
        <v>43086</v>
      </c>
      <c r="D98" s="51">
        <v>110116</v>
      </c>
      <c r="E98" s="52">
        <v>5051549933</v>
      </c>
      <c r="F98" s="43" t="s">
        <v>81</v>
      </c>
      <c r="G98" s="53">
        <v>101844</v>
      </c>
      <c r="H98" s="54" t="s">
        <v>70</v>
      </c>
      <c r="I98" s="54" t="s">
        <v>282</v>
      </c>
      <c r="J98" s="55" t="s">
        <v>88</v>
      </c>
      <c r="K98" s="54" t="s">
        <v>89</v>
      </c>
      <c r="L98" s="56">
        <f>38197+(6*364)</f>
        <v>40381</v>
      </c>
      <c r="M98" s="43">
        <f t="shared" ca="1" si="1"/>
        <v>15</v>
      </c>
    </row>
    <row r="99" spans="1:13" x14ac:dyDescent="0.3">
      <c r="A99" s="49" t="s">
        <v>287</v>
      </c>
      <c r="B99" s="49" t="s">
        <v>131</v>
      </c>
      <c r="C99" s="50">
        <v>95558</v>
      </c>
      <c r="D99" s="51">
        <v>79409</v>
      </c>
      <c r="E99" s="52">
        <v>5055261239</v>
      </c>
      <c r="F99" s="43" t="s">
        <v>81</v>
      </c>
      <c r="G99" s="53">
        <v>109087</v>
      </c>
      <c r="H99" s="54" t="s">
        <v>76</v>
      </c>
      <c r="I99" s="54" t="s">
        <v>284</v>
      </c>
      <c r="J99" s="55" t="s">
        <v>88</v>
      </c>
      <c r="K99" s="54" t="s">
        <v>136</v>
      </c>
      <c r="L99" s="56">
        <f>37383+(6*364)</f>
        <v>39567</v>
      </c>
      <c r="M99" s="43">
        <f t="shared" ca="1" si="1"/>
        <v>17</v>
      </c>
    </row>
    <row r="100" spans="1:13" x14ac:dyDescent="0.3">
      <c r="A100" s="49" t="s">
        <v>289</v>
      </c>
      <c r="B100" s="49" t="s">
        <v>131</v>
      </c>
      <c r="C100" s="50">
        <v>70279</v>
      </c>
      <c r="D100" s="51">
        <v>117858</v>
      </c>
      <c r="E100" s="52">
        <v>3034273090</v>
      </c>
      <c r="F100" s="43"/>
      <c r="G100" s="53">
        <v>27448</v>
      </c>
      <c r="H100" s="54" t="s">
        <v>86</v>
      </c>
      <c r="I100" s="54" t="s">
        <v>286</v>
      </c>
      <c r="J100" s="55" t="s">
        <v>78</v>
      </c>
      <c r="K100" s="54" t="s">
        <v>93</v>
      </c>
      <c r="L100" s="56">
        <f>37745+(6*364)</f>
        <v>39929</v>
      </c>
      <c r="M100" s="43">
        <f t="shared" ca="1" si="1"/>
        <v>16</v>
      </c>
    </row>
    <row r="101" spans="1:13" x14ac:dyDescent="0.3">
      <c r="A101" s="49" t="s">
        <v>291</v>
      </c>
      <c r="B101" s="49" t="s">
        <v>131</v>
      </c>
      <c r="C101" s="50">
        <v>42021</v>
      </c>
      <c r="D101" s="51">
        <v>92987</v>
      </c>
      <c r="E101" s="52">
        <v>9708405552</v>
      </c>
      <c r="F101" s="43" t="s">
        <v>81</v>
      </c>
      <c r="G101" s="53">
        <v>100453</v>
      </c>
      <c r="H101" s="54" t="s">
        <v>76</v>
      </c>
      <c r="I101" s="54" t="s">
        <v>288</v>
      </c>
      <c r="J101" s="55" t="s">
        <v>88</v>
      </c>
      <c r="K101" s="54" t="s">
        <v>136</v>
      </c>
      <c r="L101" s="56">
        <f>37598+(6*364)</f>
        <v>39782</v>
      </c>
      <c r="M101" s="43">
        <f t="shared" ca="1" si="1"/>
        <v>17</v>
      </c>
    </row>
    <row r="102" spans="1:13" x14ac:dyDescent="0.3">
      <c r="A102" s="49" t="s">
        <v>293</v>
      </c>
      <c r="B102" s="49" t="s">
        <v>131</v>
      </c>
      <c r="C102" s="50">
        <v>23078</v>
      </c>
      <c r="D102" s="51">
        <v>73894</v>
      </c>
      <c r="E102" s="52">
        <v>5055699651</v>
      </c>
      <c r="F102" s="43"/>
      <c r="G102" s="53">
        <v>94527</v>
      </c>
      <c r="H102" s="54" t="s">
        <v>86</v>
      </c>
      <c r="I102" s="54" t="s">
        <v>290</v>
      </c>
      <c r="J102" s="55" t="s">
        <v>88</v>
      </c>
      <c r="K102" s="54" t="s">
        <v>79</v>
      </c>
      <c r="L102" s="56">
        <f>35730+(6*364)</f>
        <v>37914</v>
      </c>
      <c r="M102" s="43">
        <f t="shared" ca="1" si="1"/>
        <v>22</v>
      </c>
    </row>
    <row r="103" spans="1:13" x14ac:dyDescent="0.3">
      <c r="A103" s="49" t="s">
        <v>25</v>
      </c>
      <c r="B103" s="49" t="s">
        <v>189</v>
      </c>
      <c r="C103" s="50">
        <v>27575</v>
      </c>
      <c r="D103" s="51">
        <v>107118</v>
      </c>
      <c r="E103" s="52">
        <v>3033392642</v>
      </c>
      <c r="F103" s="43" t="s">
        <v>91</v>
      </c>
      <c r="G103" s="53">
        <v>84766</v>
      </c>
      <c r="H103" s="54" t="s">
        <v>70</v>
      </c>
      <c r="I103" s="54" t="s">
        <v>292</v>
      </c>
      <c r="J103" s="55" t="s">
        <v>153</v>
      </c>
      <c r="K103" s="54" t="s">
        <v>84</v>
      </c>
      <c r="L103" s="56">
        <f>36871+(6*364)</f>
        <v>39055</v>
      </c>
      <c r="M103" s="43">
        <f t="shared" ca="1" si="1"/>
        <v>19</v>
      </c>
    </row>
    <row r="104" spans="1:13" x14ac:dyDescent="0.3">
      <c r="A104" s="49" t="s">
        <v>296</v>
      </c>
      <c r="B104" s="49" t="s">
        <v>189</v>
      </c>
      <c r="C104" s="50">
        <v>98843</v>
      </c>
      <c r="D104" s="51">
        <v>51686</v>
      </c>
      <c r="E104" s="52">
        <v>7197474942</v>
      </c>
      <c r="F104" s="43" t="s">
        <v>91</v>
      </c>
      <c r="G104" s="53">
        <v>48102</v>
      </c>
      <c r="H104" s="54" t="s">
        <v>70</v>
      </c>
      <c r="I104" s="54" t="s">
        <v>294</v>
      </c>
      <c r="J104" s="55" t="s">
        <v>72</v>
      </c>
      <c r="K104" s="54" t="s">
        <v>204</v>
      </c>
      <c r="L104" s="56">
        <f>35170+(6*364)</f>
        <v>37354</v>
      </c>
      <c r="M104" s="43">
        <f t="shared" ca="1" si="1"/>
        <v>23</v>
      </c>
    </row>
    <row r="105" spans="1:13" x14ac:dyDescent="0.3">
      <c r="A105" s="49" t="s">
        <v>297</v>
      </c>
      <c r="B105" s="49" t="s">
        <v>189</v>
      </c>
      <c r="C105" s="50">
        <v>28165</v>
      </c>
      <c r="D105" s="51">
        <v>59525</v>
      </c>
      <c r="E105" s="52">
        <v>3033162442</v>
      </c>
      <c r="F105" s="43" t="s">
        <v>81</v>
      </c>
      <c r="G105" s="53">
        <v>80100</v>
      </c>
      <c r="H105" s="54" t="s">
        <v>70</v>
      </c>
      <c r="I105" s="54" t="s">
        <v>295</v>
      </c>
      <c r="J105" s="55" t="s">
        <v>72</v>
      </c>
      <c r="K105" s="54" t="s">
        <v>93</v>
      </c>
      <c r="L105" s="56">
        <f>38008+(6*364)</f>
        <v>40192</v>
      </c>
      <c r="M105" s="43">
        <f t="shared" ca="1" si="1"/>
        <v>15</v>
      </c>
    </row>
    <row r="106" spans="1:13" x14ac:dyDescent="0.3">
      <c r="A106" s="49" t="s">
        <v>299</v>
      </c>
      <c r="B106" s="49" t="s">
        <v>189</v>
      </c>
      <c r="C106" s="50">
        <v>45181</v>
      </c>
      <c r="D106" s="51">
        <v>106012</v>
      </c>
      <c r="E106" s="52">
        <v>3034483888</v>
      </c>
      <c r="F106" s="43" t="s">
        <v>69</v>
      </c>
      <c r="G106" s="53">
        <v>113932</v>
      </c>
      <c r="H106" s="54" t="s">
        <v>70</v>
      </c>
      <c r="I106" s="54" t="s">
        <v>85</v>
      </c>
      <c r="J106" s="55" t="s">
        <v>100</v>
      </c>
      <c r="K106" s="54" t="s">
        <v>146</v>
      </c>
      <c r="L106" s="56">
        <f>42257+(6*364)</f>
        <v>44441</v>
      </c>
      <c r="M106" s="43">
        <f t="shared" ca="1" si="1"/>
        <v>4</v>
      </c>
    </row>
    <row r="107" spans="1:13" x14ac:dyDescent="0.3">
      <c r="A107" s="49" t="s">
        <v>301</v>
      </c>
      <c r="B107" s="49" t="s">
        <v>189</v>
      </c>
      <c r="C107" s="50">
        <v>11652</v>
      </c>
      <c r="D107" s="51">
        <v>79176</v>
      </c>
      <c r="E107" s="52">
        <v>9701629556</v>
      </c>
      <c r="F107" s="43"/>
      <c r="G107" s="53">
        <v>80325</v>
      </c>
      <c r="H107" s="54" t="s">
        <v>86</v>
      </c>
      <c r="I107" s="54" t="s">
        <v>298</v>
      </c>
      <c r="J107" s="55" t="s">
        <v>100</v>
      </c>
      <c r="K107" s="54" t="s">
        <v>89</v>
      </c>
      <c r="L107" s="56">
        <f>37731+(6*364)</f>
        <v>39915</v>
      </c>
      <c r="M107" s="43">
        <f t="shared" ca="1" si="1"/>
        <v>16</v>
      </c>
    </row>
    <row r="108" spans="1:13" x14ac:dyDescent="0.3">
      <c r="A108" s="49" t="s">
        <v>303</v>
      </c>
      <c r="B108" s="49" t="s">
        <v>189</v>
      </c>
      <c r="C108" s="50">
        <v>62687</v>
      </c>
      <c r="D108" s="51">
        <v>70183</v>
      </c>
      <c r="E108" s="52">
        <v>5058183445</v>
      </c>
      <c r="F108" s="43" t="s">
        <v>98</v>
      </c>
      <c r="G108" s="53">
        <v>89843</v>
      </c>
      <c r="H108" s="54" t="s">
        <v>70</v>
      </c>
      <c r="I108" s="54" t="s">
        <v>300</v>
      </c>
      <c r="J108" s="55" t="s">
        <v>72</v>
      </c>
      <c r="K108" s="54" t="s">
        <v>172</v>
      </c>
      <c r="L108" s="56">
        <f>38347+(6*364)</f>
        <v>40531</v>
      </c>
      <c r="M108" s="43">
        <f t="shared" ca="1" si="1"/>
        <v>14</v>
      </c>
    </row>
    <row r="109" spans="1:13" x14ac:dyDescent="0.3">
      <c r="A109" s="49" t="s">
        <v>305</v>
      </c>
      <c r="B109" s="49" t="s">
        <v>189</v>
      </c>
      <c r="C109" s="50">
        <v>49011</v>
      </c>
      <c r="D109" s="51">
        <v>61649</v>
      </c>
      <c r="E109" s="52">
        <v>7196681578</v>
      </c>
      <c r="F109" s="43"/>
      <c r="G109" s="53">
        <v>87953</v>
      </c>
      <c r="H109" s="54" t="s">
        <v>86</v>
      </c>
      <c r="I109" s="54" t="s">
        <v>302</v>
      </c>
      <c r="J109" s="55" t="s">
        <v>72</v>
      </c>
      <c r="K109" s="54" t="s">
        <v>131</v>
      </c>
      <c r="L109" s="56">
        <f>39807+(6*364)</f>
        <v>41991</v>
      </c>
      <c r="M109" s="43">
        <f t="shared" ca="1" si="1"/>
        <v>10</v>
      </c>
    </row>
    <row r="110" spans="1:13" x14ac:dyDescent="0.3">
      <c r="A110" s="49" t="s">
        <v>307</v>
      </c>
      <c r="B110" s="49" t="s">
        <v>189</v>
      </c>
      <c r="C110" s="50">
        <v>29705</v>
      </c>
      <c r="D110" s="51">
        <v>64142</v>
      </c>
      <c r="E110" s="52">
        <v>7193575849</v>
      </c>
      <c r="F110" s="43"/>
      <c r="G110" s="53">
        <v>92932</v>
      </c>
      <c r="H110" s="54" t="s">
        <v>108</v>
      </c>
      <c r="I110" s="54" t="s">
        <v>304</v>
      </c>
      <c r="J110" s="55" t="s">
        <v>72</v>
      </c>
      <c r="K110" s="54" t="s">
        <v>73</v>
      </c>
      <c r="L110" s="56">
        <f>37425+(6*364)</f>
        <v>39609</v>
      </c>
      <c r="M110" s="43">
        <f t="shared" ca="1" si="1"/>
        <v>17</v>
      </c>
    </row>
    <row r="111" spans="1:13" x14ac:dyDescent="0.3">
      <c r="A111" s="49" t="s">
        <v>308</v>
      </c>
      <c r="B111" s="49" t="s">
        <v>189</v>
      </c>
      <c r="C111" s="50">
        <v>85580</v>
      </c>
      <c r="D111" s="51">
        <v>24617</v>
      </c>
      <c r="E111" s="52">
        <v>5054264889</v>
      </c>
      <c r="F111" s="43" t="s">
        <v>91</v>
      </c>
      <c r="G111" s="53">
        <v>91638</v>
      </c>
      <c r="H111" s="54" t="s">
        <v>70</v>
      </c>
      <c r="I111" s="54" t="s">
        <v>306</v>
      </c>
      <c r="J111" s="55" t="s">
        <v>72</v>
      </c>
      <c r="K111" s="54" t="s">
        <v>172</v>
      </c>
      <c r="L111" s="56">
        <f>38450+(6*364)</f>
        <v>40634</v>
      </c>
      <c r="M111" s="43">
        <f t="shared" ca="1" si="1"/>
        <v>14</v>
      </c>
    </row>
    <row r="112" spans="1:13" x14ac:dyDescent="0.3">
      <c r="A112" s="49" t="s">
        <v>148</v>
      </c>
      <c r="B112" s="49" t="s">
        <v>158</v>
      </c>
      <c r="C112" s="50">
        <v>75048</v>
      </c>
      <c r="D112" s="51">
        <v>33770</v>
      </c>
      <c r="E112" s="52">
        <v>5057889149</v>
      </c>
      <c r="F112" s="43" t="s">
        <v>81</v>
      </c>
      <c r="G112" s="53">
        <v>115648</v>
      </c>
      <c r="H112" s="54" t="s">
        <v>76</v>
      </c>
      <c r="I112" s="54" t="s">
        <v>182</v>
      </c>
      <c r="J112" s="55" t="s">
        <v>88</v>
      </c>
      <c r="K112" s="54" t="s">
        <v>158</v>
      </c>
      <c r="L112" s="56">
        <f>37661+(6*364)</f>
        <v>39845</v>
      </c>
      <c r="M112" s="43">
        <f t="shared" ca="1" si="1"/>
        <v>16</v>
      </c>
    </row>
    <row r="113" spans="1:13" x14ac:dyDescent="0.3">
      <c r="A113" s="49" t="s">
        <v>223</v>
      </c>
      <c r="B113" s="49" t="s">
        <v>158</v>
      </c>
      <c r="C113" s="50">
        <v>82119</v>
      </c>
      <c r="D113" s="51">
        <v>123111</v>
      </c>
      <c r="E113" s="52">
        <v>5057904981</v>
      </c>
      <c r="F113" s="43" t="s">
        <v>75</v>
      </c>
      <c r="G113" s="53">
        <v>91478</v>
      </c>
      <c r="H113" s="54" t="s">
        <v>70</v>
      </c>
      <c r="I113" s="54" t="s">
        <v>309</v>
      </c>
      <c r="J113" s="55" t="s">
        <v>78</v>
      </c>
      <c r="K113" s="54" t="s">
        <v>84</v>
      </c>
      <c r="L113" s="56">
        <f>41795+(6*364)</f>
        <v>43979</v>
      </c>
      <c r="M113" s="43">
        <f t="shared" ca="1" si="1"/>
        <v>5</v>
      </c>
    </row>
    <row r="114" spans="1:13" x14ac:dyDescent="0.3">
      <c r="A114" s="49" t="s">
        <v>236</v>
      </c>
      <c r="B114" s="49" t="s">
        <v>158</v>
      </c>
      <c r="C114" s="50">
        <v>23728</v>
      </c>
      <c r="D114" s="51">
        <v>61363</v>
      </c>
      <c r="E114" s="52">
        <v>7196822349</v>
      </c>
      <c r="F114" s="43" t="s">
        <v>81</v>
      </c>
      <c r="G114" s="53">
        <v>57669</v>
      </c>
      <c r="H114" s="54" t="s">
        <v>70</v>
      </c>
      <c r="I114" s="54" t="s">
        <v>310</v>
      </c>
      <c r="J114" s="55" t="s">
        <v>72</v>
      </c>
      <c r="K114" s="54" t="s">
        <v>84</v>
      </c>
      <c r="L114" s="56">
        <f>38627+(6*364)</f>
        <v>40811</v>
      </c>
      <c r="M114" s="43">
        <f t="shared" ca="1" si="1"/>
        <v>14</v>
      </c>
    </row>
    <row r="115" spans="1:13" x14ac:dyDescent="0.3">
      <c r="A115" s="49" t="s">
        <v>312</v>
      </c>
      <c r="B115" s="49" t="s">
        <v>158</v>
      </c>
      <c r="C115" s="50">
        <v>87631</v>
      </c>
      <c r="D115" s="51">
        <v>126677</v>
      </c>
      <c r="E115" s="52">
        <v>5056169135</v>
      </c>
      <c r="F115" s="43" t="s">
        <v>91</v>
      </c>
      <c r="G115" s="53">
        <v>121479</v>
      </c>
      <c r="H115" s="54" t="s">
        <v>76</v>
      </c>
      <c r="I115" s="54" t="s">
        <v>161</v>
      </c>
      <c r="J115" s="55" t="s">
        <v>72</v>
      </c>
      <c r="K115" s="54" t="s">
        <v>131</v>
      </c>
      <c r="L115" s="56">
        <f>41847+(6*364)</f>
        <v>44031</v>
      </c>
      <c r="M115" s="43">
        <f t="shared" ca="1" si="1"/>
        <v>5</v>
      </c>
    </row>
    <row r="116" spans="1:13" x14ac:dyDescent="0.3">
      <c r="A116" s="49" t="s">
        <v>314</v>
      </c>
      <c r="B116" s="49" t="s">
        <v>158</v>
      </c>
      <c r="C116" s="50">
        <v>78080</v>
      </c>
      <c r="D116" s="51">
        <v>127055</v>
      </c>
      <c r="E116" s="52">
        <v>9704936058</v>
      </c>
      <c r="F116" s="43" t="s">
        <v>98</v>
      </c>
      <c r="G116" s="53">
        <v>97828</v>
      </c>
      <c r="H116" s="54" t="s">
        <v>70</v>
      </c>
      <c r="I116" s="54" t="s">
        <v>311</v>
      </c>
      <c r="J116" s="55" t="s">
        <v>88</v>
      </c>
      <c r="K116" s="54" t="s">
        <v>172</v>
      </c>
      <c r="L116" s="56">
        <f>37785+(6*364)</f>
        <v>39969</v>
      </c>
      <c r="M116" s="43">
        <f t="shared" ca="1" si="1"/>
        <v>16</v>
      </c>
    </row>
    <row r="117" spans="1:13" x14ac:dyDescent="0.3">
      <c r="A117" s="49" t="s">
        <v>315</v>
      </c>
      <c r="B117" s="49" t="s">
        <v>158</v>
      </c>
      <c r="C117" s="50">
        <v>79483</v>
      </c>
      <c r="D117" s="51">
        <v>42378</v>
      </c>
      <c r="E117" s="52">
        <v>5056245634</v>
      </c>
      <c r="F117" s="43" t="s">
        <v>98</v>
      </c>
      <c r="G117" s="53">
        <v>94655</v>
      </c>
      <c r="H117" s="54" t="s">
        <v>70</v>
      </c>
      <c r="I117" s="54" t="s">
        <v>313</v>
      </c>
      <c r="J117" s="55" t="s">
        <v>83</v>
      </c>
      <c r="K117" s="54" t="s">
        <v>84</v>
      </c>
      <c r="L117" s="56">
        <f>37442+(6*364)</f>
        <v>39626</v>
      </c>
      <c r="M117" s="43">
        <f t="shared" ca="1" si="1"/>
        <v>17</v>
      </c>
    </row>
    <row r="118" spans="1:13" x14ac:dyDescent="0.3">
      <c r="A118" s="49" t="s">
        <v>317</v>
      </c>
      <c r="B118" s="49" t="s">
        <v>158</v>
      </c>
      <c r="C118" s="50">
        <v>53174</v>
      </c>
      <c r="D118" s="51">
        <v>78625</v>
      </c>
      <c r="E118" s="52">
        <v>3037422559</v>
      </c>
      <c r="F118" s="43" t="s">
        <v>98</v>
      </c>
      <c r="G118" s="53">
        <v>68122</v>
      </c>
      <c r="H118" s="54" t="s">
        <v>76</v>
      </c>
      <c r="I118" s="54" t="s">
        <v>25</v>
      </c>
      <c r="J118" s="55" t="s">
        <v>72</v>
      </c>
      <c r="K118" s="54" t="s">
        <v>89</v>
      </c>
      <c r="L118" s="56">
        <f>36948+(6*364)</f>
        <v>39132</v>
      </c>
      <c r="M118" s="43">
        <f t="shared" ca="1" si="1"/>
        <v>18</v>
      </c>
    </row>
    <row r="119" spans="1:13" x14ac:dyDescent="0.3">
      <c r="A119" s="49" t="s">
        <v>319</v>
      </c>
      <c r="B119" s="49" t="s">
        <v>158</v>
      </c>
      <c r="C119" s="50">
        <v>38231</v>
      </c>
      <c r="D119" s="51">
        <v>123213</v>
      </c>
      <c r="E119" s="52">
        <v>9706648050</v>
      </c>
      <c r="F119" s="43" t="s">
        <v>81</v>
      </c>
      <c r="G119" s="53">
        <v>85824</v>
      </c>
      <c r="H119" s="54" t="s">
        <v>70</v>
      </c>
      <c r="I119" s="54" t="s">
        <v>316</v>
      </c>
      <c r="J119" s="55" t="s">
        <v>83</v>
      </c>
      <c r="K119" s="54" t="s">
        <v>89</v>
      </c>
      <c r="L119" s="56">
        <f>42099+(6*364)</f>
        <v>44283</v>
      </c>
      <c r="M119" s="43">
        <f t="shared" ca="1" si="1"/>
        <v>4</v>
      </c>
    </row>
    <row r="120" spans="1:13" x14ac:dyDescent="0.3">
      <c r="A120" s="49" t="s">
        <v>321</v>
      </c>
      <c r="B120" s="49" t="s">
        <v>158</v>
      </c>
      <c r="C120" s="50">
        <v>36394</v>
      </c>
      <c r="D120" s="51">
        <v>29327</v>
      </c>
      <c r="E120" s="52">
        <v>3032168237</v>
      </c>
      <c r="F120" s="43" t="s">
        <v>91</v>
      </c>
      <c r="G120" s="53">
        <v>122460</v>
      </c>
      <c r="H120" s="54" t="s">
        <v>76</v>
      </c>
      <c r="I120" s="54" t="s">
        <v>318</v>
      </c>
      <c r="J120" s="55" t="s">
        <v>83</v>
      </c>
      <c r="K120" s="54" t="s">
        <v>146</v>
      </c>
      <c r="L120" s="56">
        <f>39751+(6*364)</f>
        <v>41935</v>
      </c>
      <c r="M120" s="43">
        <f t="shared" ca="1" si="1"/>
        <v>11</v>
      </c>
    </row>
    <row r="121" spans="1:13" x14ac:dyDescent="0.3">
      <c r="A121" s="49" t="s">
        <v>323</v>
      </c>
      <c r="B121" s="49" t="s">
        <v>158</v>
      </c>
      <c r="C121" s="50">
        <v>49275</v>
      </c>
      <c r="D121" s="51">
        <v>117246</v>
      </c>
      <c r="E121" s="52">
        <v>3034900864</v>
      </c>
      <c r="F121" s="43"/>
      <c r="G121" s="53">
        <v>57359</v>
      </c>
      <c r="H121" s="54" t="s">
        <v>108</v>
      </c>
      <c r="I121" s="54" t="s">
        <v>320</v>
      </c>
      <c r="J121" s="55" t="s">
        <v>72</v>
      </c>
      <c r="K121" s="54" t="s">
        <v>106</v>
      </c>
      <c r="L121" s="56">
        <f>39709+(6*364)</f>
        <v>41893</v>
      </c>
      <c r="M121" s="43">
        <f t="shared" ca="1" si="1"/>
        <v>11</v>
      </c>
    </row>
    <row r="122" spans="1:13" x14ac:dyDescent="0.3">
      <c r="A122" s="49" t="s">
        <v>325</v>
      </c>
      <c r="B122" s="49" t="s">
        <v>158</v>
      </c>
      <c r="C122" s="50">
        <v>63191</v>
      </c>
      <c r="D122" s="51">
        <v>100438</v>
      </c>
      <c r="E122" s="52">
        <v>5055185281</v>
      </c>
      <c r="F122" s="43" t="s">
        <v>91</v>
      </c>
      <c r="G122" s="53">
        <v>59346</v>
      </c>
      <c r="H122" s="54" t="s">
        <v>70</v>
      </c>
      <c r="I122" s="54" t="s">
        <v>322</v>
      </c>
      <c r="J122" s="55" t="s">
        <v>153</v>
      </c>
      <c r="K122" s="54" t="s">
        <v>89</v>
      </c>
      <c r="L122" s="56">
        <f>38008+(6*364)</f>
        <v>40192</v>
      </c>
      <c r="M122" s="43">
        <f t="shared" ca="1" si="1"/>
        <v>15</v>
      </c>
    </row>
    <row r="123" spans="1:13" x14ac:dyDescent="0.3">
      <c r="A123" s="49" t="s">
        <v>326</v>
      </c>
      <c r="B123" s="49" t="s">
        <v>158</v>
      </c>
      <c r="C123" s="50">
        <v>37951</v>
      </c>
      <c r="D123" s="51">
        <v>79540</v>
      </c>
      <c r="E123" s="52">
        <v>5053976775</v>
      </c>
      <c r="F123" s="43" t="s">
        <v>98</v>
      </c>
      <c r="G123" s="53">
        <v>101035</v>
      </c>
      <c r="H123" s="54" t="s">
        <v>76</v>
      </c>
      <c r="I123" s="54" t="s">
        <v>324</v>
      </c>
      <c r="J123" s="55" t="s">
        <v>153</v>
      </c>
      <c r="K123" s="54" t="s">
        <v>146</v>
      </c>
      <c r="L123" s="56">
        <f>37074+(6*364)</f>
        <v>39258</v>
      </c>
      <c r="M123" s="43">
        <f t="shared" ca="1" si="1"/>
        <v>18</v>
      </c>
    </row>
    <row r="124" spans="1:13" x14ac:dyDescent="0.3">
      <c r="A124" s="49" t="s">
        <v>328</v>
      </c>
      <c r="B124" s="49" t="s">
        <v>158</v>
      </c>
      <c r="C124" s="50">
        <v>92374</v>
      </c>
      <c r="D124" s="51">
        <v>73561</v>
      </c>
      <c r="E124" s="52">
        <v>9706632360</v>
      </c>
      <c r="F124" s="43"/>
      <c r="G124" s="53">
        <v>58807</v>
      </c>
      <c r="H124" s="54" t="s">
        <v>86</v>
      </c>
      <c r="I124" s="54" t="s">
        <v>184</v>
      </c>
      <c r="J124" s="55" t="s">
        <v>72</v>
      </c>
      <c r="K124" s="54" t="s">
        <v>89</v>
      </c>
      <c r="L124" s="56">
        <f>37627+(6*364)</f>
        <v>39811</v>
      </c>
      <c r="M124" s="43">
        <f t="shared" ca="1" si="1"/>
        <v>16</v>
      </c>
    </row>
    <row r="125" spans="1:13" x14ac:dyDescent="0.3">
      <c r="A125" s="49" t="s">
        <v>330</v>
      </c>
      <c r="B125" s="49" t="s">
        <v>158</v>
      </c>
      <c r="C125" s="50">
        <v>49130</v>
      </c>
      <c r="D125" s="51">
        <v>95869</v>
      </c>
      <c r="E125" s="52">
        <v>9708006736</v>
      </c>
      <c r="F125" s="43"/>
      <c r="G125" s="53">
        <v>37758</v>
      </c>
      <c r="H125" s="54" t="s">
        <v>86</v>
      </c>
      <c r="I125" s="54" t="s">
        <v>327</v>
      </c>
      <c r="J125" s="55" t="s">
        <v>88</v>
      </c>
      <c r="K125" s="54" t="s">
        <v>146</v>
      </c>
      <c r="L125" s="56">
        <f>37305+(6*364)</f>
        <v>39489</v>
      </c>
      <c r="M125" s="43">
        <f t="shared" ca="1" si="1"/>
        <v>17</v>
      </c>
    </row>
    <row r="126" spans="1:13" x14ac:dyDescent="0.3">
      <c r="A126" s="49" t="s">
        <v>332</v>
      </c>
      <c r="B126" s="49" t="s">
        <v>158</v>
      </c>
      <c r="C126" s="50">
        <v>71407</v>
      </c>
      <c r="D126" s="51">
        <v>133182</v>
      </c>
      <c r="E126" s="52">
        <v>7197469217</v>
      </c>
      <c r="F126" s="43" t="s">
        <v>81</v>
      </c>
      <c r="G126" s="53">
        <v>120887</v>
      </c>
      <c r="H126" s="54" t="s">
        <v>76</v>
      </c>
      <c r="I126" s="54" t="s">
        <v>329</v>
      </c>
      <c r="J126" s="55" t="s">
        <v>72</v>
      </c>
      <c r="K126" s="54" t="s">
        <v>158</v>
      </c>
      <c r="L126" s="56">
        <f>35918+(6*364)</f>
        <v>38102</v>
      </c>
      <c r="M126" s="43">
        <f t="shared" ca="1" si="1"/>
        <v>21</v>
      </c>
    </row>
    <row r="127" spans="1:13" x14ac:dyDescent="0.3">
      <c r="A127" s="49" t="s">
        <v>334</v>
      </c>
      <c r="B127" s="49" t="s">
        <v>158</v>
      </c>
      <c r="C127" s="50">
        <v>24709</v>
      </c>
      <c r="D127" s="51">
        <v>69055</v>
      </c>
      <c r="E127" s="52">
        <v>9705230846</v>
      </c>
      <c r="F127" s="43"/>
      <c r="G127" s="53">
        <v>98529</v>
      </c>
      <c r="H127" s="54" t="s">
        <v>108</v>
      </c>
      <c r="I127" s="54" t="s">
        <v>331</v>
      </c>
      <c r="J127" s="55" t="s">
        <v>78</v>
      </c>
      <c r="K127" s="54" t="s">
        <v>136</v>
      </c>
      <c r="L127" s="56">
        <f>37488+(6*364)</f>
        <v>39672</v>
      </c>
      <c r="M127" s="43">
        <f t="shared" ca="1" si="1"/>
        <v>17</v>
      </c>
    </row>
    <row r="128" spans="1:13" x14ac:dyDescent="0.3">
      <c r="A128" s="49" t="s">
        <v>336</v>
      </c>
      <c r="B128" s="49" t="s">
        <v>158</v>
      </c>
      <c r="C128" s="50">
        <v>67905</v>
      </c>
      <c r="D128" s="51">
        <v>95607</v>
      </c>
      <c r="E128" s="52">
        <v>7191408985</v>
      </c>
      <c r="F128" s="43" t="s">
        <v>81</v>
      </c>
      <c r="G128" s="53">
        <v>112173</v>
      </c>
      <c r="H128" s="54" t="s">
        <v>70</v>
      </c>
      <c r="I128" s="54" t="s">
        <v>333</v>
      </c>
      <c r="J128" s="55" t="s">
        <v>83</v>
      </c>
      <c r="K128" s="54" t="s">
        <v>89</v>
      </c>
      <c r="L128" s="56">
        <f>41236+(6*364)</f>
        <v>43420</v>
      </c>
      <c r="M128" s="43">
        <f t="shared" ca="1" si="1"/>
        <v>7</v>
      </c>
    </row>
    <row r="129" spans="1:13" x14ac:dyDescent="0.3">
      <c r="A129" s="49" t="s">
        <v>338</v>
      </c>
      <c r="B129" s="49" t="s">
        <v>158</v>
      </c>
      <c r="C129" s="50">
        <v>53493</v>
      </c>
      <c r="D129" s="51">
        <v>64449</v>
      </c>
      <c r="E129" s="52">
        <v>7194160215</v>
      </c>
      <c r="F129" s="43" t="s">
        <v>98</v>
      </c>
      <c r="G129" s="53">
        <v>77102</v>
      </c>
      <c r="H129" s="54" t="s">
        <v>70</v>
      </c>
      <c r="I129" s="54" t="s">
        <v>335</v>
      </c>
      <c r="J129" s="55" t="s">
        <v>72</v>
      </c>
      <c r="K129" s="54" t="s">
        <v>79</v>
      </c>
      <c r="L129" s="56">
        <f>36050+(6*364)</f>
        <v>38234</v>
      </c>
      <c r="M129" s="43">
        <f t="shared" ca="1" si="1"/>
        <v>21</v>
      </c>
    </row>
    <row r="130" spans="1:13" x14ac:dyDescent="0.3">
      <c r="A130" s="49" t="s">
        <v>340</v>
      </c>
      <c r="B130" s="49" t="s">
        <v>158</v>
      </c>
      <c r="C130" s="50">
        <v>67333</v>
      </c>
      <c r="D130" s="51">
        <v>113420</v>
      </c>
      <c r="E130" s="52">
        <v>3034310812</v>
      </c>
      <c r="F130" s="43" t="s">
        <v>81</v>
      </c>
      <c r="G130" s="53">
        <v>84920</v>
      </c>
      <c r="H130" s="54" t="s">
        <v>70</v>
      </c>
      <c r="I130" s="54" t="s">
        <v>337</v>
      </c>
      <c r="J130" s="55" t="s">
        <v>83</v>
      </c>
      <c r="K130" s="54" t="s">
        <v>89</v>
      </c>
      <c r="L130" s="56">
        <f>41379+(6*364)</f>
        <v>43563</v>
      </c>
      <c r="M130" s="43">
        <f t="shared" ref="M130:M193" ca="1" si="2">DATEDIF(L130,TODAY(),"Y")</f>
        <v>6</v>
      </c>
    </row>
    <row r="131" spans="1:13" x14ac:dyDescent="0.3">
      <c r="A131" s="49" t="s">
        <v>281</v>
      </c>
      <c r="B131" s="49" t="s">
        <v>342</v>
      </c>
      <c r="C131" s="50">
        <v>77378</v>
      </c>
      <c r="D131" s="51">
        <v>103742</v>
      </c>
      <c r="E131" s="52">
        <v>9701838930</v>
      </c>
      <c r="F131" s="43" t="s">
        <v>98</v>
      </c>
      <c r="G131" s="53">
        <v>64441</v>
      </c>
      <c r="H131" s="54" t="s">
        <v>70</v>
      </c>
      <c r="I131" s="54" t="s">
        <v>339</v>
      </c>
      <c r="J131" s="55" t="s">
        <v>83</v>
      </c>
      <c r="K131" s="54" t="s">
        <v>280</v>
      </c>
      <c r="L131" s="56">
        <f>38481+(6*364)</f>
        <v>40665</v>
      </c>
      <c r="M131" s="43">
        <f t="shared" ca="1" si="2"/>
        <v>14</v>
      </c>
    </row>
    <row r="132" spans="1:13" x14ac:dyDescent="0.3">
      <c r="A132" s="49" t="s">
        <v>298</v>
      </c>
      <c r="B132" s="49" t="s">
        <v>342</v>
      </c>
      <c r="C132" s="50">
        <v>36954</v>
      </c>
      <c r="D132" s="51">
        <v>115850</v>
      </c>
      <c r="E132" s="52">
        <v>3034743535</v>
      </c>
      <c r="F132" s="43"/>
      <c r="G132" s="53">
        <v>87611</v>
      </c>
      <c r="H132" s="54" t="s">
        <v>108</v>
      </c>
      <c r="I132" s="54" t="s">
        <v>341</v>
      </c>
      <c r="J132" s="55" t="s">
        <v>83</v>
      </c>
      <c r="K132" s="54" t="s">
        <v>280</v>
      </c>
      <c r="L132" s="56">
        <f>42467+(6*364)</f>
        <v>44651</v>
      </c>
      <c r="M132" s="43">
        <f t="shared" ca="1" si="2"/>
        <v>3</v>
      </c>
    </row>
    <row r="133" spans="1:13" x14ac:dyDescent="0.3">
      <c r="A133" s="49" t="s">
        <v>345</v>
      </c>
      <c r="B133" s="49" t="s">
        <v>342</v>
      </c>
      <c r="C133" s="50">
        <v>33742</v>
      </c>
      <c r="D133" s="51">
        <v>94020</v>
      </c>
      <c r="E133" s="52">
        <v>5054980674</v>
      </c>
      <c r="F133" s="43"/>
      <c r="G133" s="53">
        <v>62889</v>
      </c>
      <c r="H133" s="54" t="s">
        <v>86</v>
      </c>
      <c r="I133" s="54" t="s">
        <v>343</v>
      </c>
      <c r="J133" s="55" t="s">
        <v>72</v>
      </c>
      <c r="K133" s="54" t="s">
        <v>172</v>
      </c>
      <c r="L133" s="56">
        <f>37421+(6*364)</f>
        <v>39605</v>
      </c>
      <c r="M133" s="43">
        <f t="shared" ca="1" si="2"/>
        <v>17</v>
      </c>
    </row>
    <row r="134" spans="1:13" x14ac:dyDescent="0.3">
      <c r="A134" s="49" t="s">
        <v>347</v>
      </c>
      <c r="B134" s="49" t="s">
        <v>342</v>
      </c>
      <c r="C134" s="50">
        <v>65323</v>
      </c>
      <c r="D134" s="51">
        <v>75523</v>
      </c>
      <c r="E134" s="52">
        <v>9708577225</v>
      </c>
      <c r="F134" s="43"/>
      <c r="G134" s="53">
        <v>45256</v>
      </c>
      <c r="H134" s="54" t="s">
        <v>86</v>
      </c>
      <c r="I134" s="54" t="s">
        <v>344</v>
      </c>
      <c r="J134" s="55" t="s">
        <v>72</v>
      </c>
      <c r="K134" s="54" t="s">
        <v>103</v>
      </c>
      <c r="L134" s="56">
        <f>40840+(6*364)</f>
        <v>43024</v>
      </c>
      <c r="M134" s="43">
        <f t="shared" ca="1" si="2"/>
        <v>8</v>
      </c>
    </row>
    <row r="135" spans="1:13" x14ac:dyDescent="0.3">
      <c r="A135" s="49" t="s">
        <v>348</v>
      </c>
      <c r="B135" s="49" t="s">
        <v>342</v>
      </c>
      <c r="C135" s="50">
        <v>60351</v>
      </c>
      <c r="D135" s="51">
        <v>121802</v>
      </c>
      <c r="E135" s="52">
        <v>7191559081</v>
      </c>
      <c r="F135" s="43" t="s">
        <v>69</v>
      </c>
      <c r="G135" s="53">
        <v>58101</v>
      </c>
      <c r="H135" s="54" t="s">
        <v>76</v>
      </c>
      <c r="I135" s="54" t="s">
        <v>346</v>
      </c>
      <c r="J135" s="55" t="s">
        <v>78</v>
      </c>
      <c r="K135" s="54" t="s">
        <v>89</v>
      </c>
      <c r="L135" s="56">
        <f>36087+(6*364)</f>
        <v>38271</v>
      </c>
      <c r="M135" s="43">
        <f t="shared" ca="1" si="2"/>
        <v>21</v>
      </c>
    </row>
    <row r="136" spans="1:13" x14ac:dyDescent="0.3">
      <c r="A136" s="49" t="s">
        <v>137</v>
      </c>
      <c r="B136" s="49" t="s">
        <v>73</v>
      </c>
      <c r="C136" s="50">
        <v>57731</v>
      </c>
      <c r="D136" s="51">
        <v>72295</v>
      </c>
      <c r="E136" s="52">
        <v>7195818082</v>
      </c>
      <c r="F136" s="43"/>
      <c r="G136" s="53">
        <v>39791</v>
      </c>
      <c r="H136" s="54" t="s">
        <v>108</v>
      </c>
      <c r="I136" s="54" t="s">
        <v>138</v>
      </c>
      <c r="J136" s="55" t="s">
        <v>153</v>
      </c>
      <c r="K136" s="54" t="s">
        <v>93</v>
      </c>
      <c r="L136" s="56">
        <f>39772+(6*364)</f>
        <v>41956</v>
      </c>
      <c r="M136" s="43">
        <f t="shared" ca="1" si="2"/>
        <v>11</v>
      </c>
    </row>
    <row r="137" spans="1:13" x14ac:dyDescent="0.3">
      <c r="A137" s="49" t="s">
        <v>217</v>
      </c>
      <c r="B137" s="49" t="s">
        <v>73</v>
      </c>
      <c r="C137" s="50">
        <v>59095</v>
      </c>
      <c r="D137" s="51">
        <v>78843</v>
      </c>
      <c r="E137" s="52">
        <v>7193355152</v>
      </c>
      <c r="F137" s="43"/>
      <c r="G137" s="53">
        <v>61456</v>
      </c>
      <c r="H137" s="54" t="s">
        <v>86</v>
      </c>
      <c r="I137" s="54" t="s">
        <v>349</v>
      </c>
      <c r="J137" s="55" t="s">
        <v>72</v>
      </c>
      <c r="K137" s="54" t="s">
        <v>84</v>
      </c>
      <c r="L137" s="56">
        <f>35958+(6*364)</f>
        <v>38142</v>
      </c>
      <c r="M137" s="43">
        <f t="shared" ca="1" si="2"/>
        <v>21</v>
      </c>
    </row>
    <row r="138" spans="1:13" x14ac:dyDescent="0.3">
      <c r="A138" s="49" t="s">
        <v>227</v>
      </c>
      <c r="B138" s="49" t="s">
        <v>73</v>
      </c>
      <c r="C138" s="50">
        <v>23369</v>
      </c>
      <c r="D138" s="51">
        <v>71815</v>
      </c>
      <c r="E138" s="52">
        <v>3032639452</v>
      </c>
      <c r="F138" s="43" t="s">
        <v>98</v>
      </c>
      <c r="G138" s="53">
        <v>59922</v>
      </c>
      <c r="H138" s="54" t="s">
        <v>70</v>
      </c>
      <c r="I138" s="54" t="s">
        <v>350</v>
      </c>
      <c r="J138" s="55" t="s">
        <v>72</v>
      </c>
      <c r="K138" s="54" t="s">
        <v>73</v>
      </c>
      <c r="L138" s="56">
        <f>36994+(6*364)</f>
        <v>39178</v>
      </c>
      <c r="M138" s="43">
        <f t="shared" ca="1" si="2"/>
        <v>18</v>
      </c>
    </row>
    <row r="139" spans="1:13" x14ac:dyDescent="0.3">
      <c r="A139" s="49" t="s">
        <v>231</v>
      </c>
      <c r="B139" s="49" t="s">
        <v>73</v>
      </c>
      <c r="C139" s="50">
        <v>97779</v>
      </c>
      <c r="D139" s="51">
        <v>50377</v>
      </c>
      <c r="E139" s="52">
        <v>7193906310</v>
      </c>
      <c r="F139" s="43" t="s">
        <v>98</v>
      </c>
      <c r="G139" s="53">
        <v>77370</v>
      </c>
      <c r="H139" s="54" t="s">
        <v>70</v>
      </c>
      <c r="I139" s="54" t="s">
        <v>186</v>
      </c>
      <c r="J139" s="55" t="s">
        <v>100</v>
      </c>
      <c r="K139" s="54" t="s">
        <v>103</v>
      </c>
      <c r="L139" s="56">
        <f>42392+(6*364)</f>
        <v>44576</v>
      </c>
      <c r="M139" s="43">
        <f t="shared" ca="1" si="2"/>
        <v>3</v>
      </c>
    </row>
    <row r="140" spans="1:13" x14ac:dyDescent="0.3">
      <c r="A140" s="49" t="s">
        <v>277</v>
      </c>
      <c r="B140" s="49" t="s">
        <v>73</v>
      </c>
      <c r="C140" s="50">
        <v>86453</v>
      </c>
      <c r="D140" s="51">
        <v>76115</v>
      </c>
      <c r="E140" s="52">
        <v>3032687844</v>
      </c>
      <c r="F140" s="43"/>
      <c r="G140" s="53">
        <v>68923</v>
      </c>
      <c r="H140" s="54" t="s">
        <v>86</v>
      </c>
      <c r="I140" s="54" t="s">
        <v>351</v>
      </c>
      <c r="J140" s="55" t="s">
        <v>153</v>
      </c>
      <c r="K140" s="54" t="s">
        <v>106</v>
      </c>
      <c r="L140" s="56">
        <f>37962+(6*364)</f>
        <v>40146</v>
      </c>
      <c r="M140" s="43">
        <f t="shared" ca="1" si="2"/>
        <v>16</v>
      </c>
    </row>
    <row r="141" spans="1:13" x14ac:dyDescent="0.3">
      <c r="A141" s="49" t="s">
        <v>331</v>
      </c>
      <c r="B141" s="49" t="s">
        <v>73</v>
      </c>
      <c r="C141" s="50">
        <v>58347</v>
      </c>
      <c r="D141" s="51">
        <v>100497</v>
      </c>
      <c r="E141" s="52">
        <v>5054680033</v>
      </c>
      <c r="F141" s="43" t="s">
        <v>98</v>
      </c>
      <c r="G141" s="53">
        <v>77935</v>
      </c>
      <c r="H141" s="54" t="s">
        <v>70</v>
      </c>
      <c r="I141" s="54" t="s">
        <v>352</v>
      </c>
      <c r="J141" s="55" t="s">
        <v>72</v>
      </c>
      <c r="K141" s="54" t="s">
        <v>89</v>
      </c>
      <c r="L141" s="56">
        <f>39654+(6*364)</f>
        <v>41838</v>
      </c>
      <c r="M141" s="43">
        <f t="shared" ca="1" si="2"/>
        <v>11</v>
      </c>
    </row>
    <row r="142" spans="1:13" x14ac:dyDescent="0.3">
      <c r="A142" s="49" t="s">
        <v>349</v>
      </c>
      <c r="B142" s="49" t="s">
        <v>73</v>
      </c>
      <c r="C142" s="50">
        <v>74180</v>
      </c>
      <c r="D142" s="51">
        <v>74053</v>
      </c>
      <c r="E142" s="52">
        <v>9702602559</v>
      </c>
      <c r="F142" s="43"/>
      <c r="G142" s="53">
        <v>35713</v>
      </c>
      <c r="H142" s="54" t="s">
        <v>86</v>
      </c>
      <c r="I142" s="54" t="s">
        <v>187</v>
      </c>
      <c r="J142" s="55" t="s">
        <v>72</v>
      </c>
      <c r="K142" s="54" t="s">
        <v>93</v>
      </c>
      <c r="L142" s="56">
        <f>37070+(6*364)</f>
        <v>39254</v>
      </c>
      <c r="M142" s="43">
        <f t="shared" ca="1" si="2"/>
        <v>18</v>
      </c>
    </row>
    <row r="143" spans="1:13" x14ac:dyDescent="0.3">
      <c r="A143" s="49" t="s">
        <v>350</v>
      </c>
      <c r="B143" s="49" t="s">
        <v>73</v>
      </c>
      <c r="C143" s="50">
        <v>94038</v>
      </c>
      <c r="D143" s="51">
        <v>124596</v>
      </c>
      <c r="E143" s="52">
        <v>3034897618</v>
      </c>
      <c r="F143" s="43"/>
      <c r="G143" s="53">
        <v>35224</v>
      </c>
      <c r="H143" s="54" t="s">
        <v>86</v>
      </c>
      <c r="I143" s="54" t="s">
        <v>190</v>
      </c>
      <c r="J143" s="55" t="s">
        <v>83</v>
      </c>
      <c r="K143" s="54" t="s">
        <v>93</v>
      </c>
      <c r="L143" s="56">
        <f>40647+(6*364)</f>
        <v>42831</v>
      </c>
      <c r="M143" s="43">
        <f t="shared" ca="1" si="2"/>
        <v>8</v>
      </c>
    </row>
    <row r="144" spans="1:13" x14ac:dyDescent="0.3">
      <c r="A144" s="49" t="s">
        <v>356</v>
      </c>
      <c r="B144" s="49" t="s">
        <v>73</v>
      </c>
      <c r="C144" s="50">
        <v>14910</v>
      </c>
      <c r="D144" s="51">
        <v>71160</v>
      </c>
      <c r="E144" s="52">
        <v>5055750692</v>
      </c>
      <c r="F144" s="43" t="s">
        <v>81</v>
      </c>
      <c r="G144" s="53">
        <v>60446</v>
      </c>
      <c r="H144" s="54" t="s">
        <v>70</v>
      </c>
      <c r="I144" s="54" t="s">
        <v>353</v>
      </c>
      <c r="J144" s="55" t="s">
        <v>153</v>
      </c>
      <c r="K144" s="54" t="s">
        <v>79</v>
      </c>
      <c r="L144" s="56">
        <f>37262+(6*364)</f>
        <v>39446</v>
      </c>
      <c r="M144" s="43">
        <f t="shared" ca="1" si="2"/>
        <v>17</v>
      </c>
    </row>
    <row r="145" spans="1:13" x14ac:dyDescent="0.3">
      <c r="A145" s="49" t="s">
        <v>20</v>
      </c>
      <c r="B145" s="49" t="s">
        <v>73</v>
      </c>
      <c r="C145" s="50">
        <v>97691</v>
      </c>
      <c r="D145" s="51">
        <v>99885</v>
      </c>
      <c r="E145" s="52">
        <v>5057187041</v>
      </c>
      <c r="F145" s="43"/>
      <c r="G145" s="53">
        <v>95835</v>
      </c>
      <c r="H145" s="54" t="s">
        <v>86</v>
      </c>
      <c r="I145" s="54" t="s">
        <v>354</v>
      </c>
      <c r="J145" s="55" t="s">
        <v>100</v>
      </c>
      <c r="K145" s="54" t="s">
        <v>355</v>
      </c>
      <c r="L145" s="56">
        <f>42187+(6*364)</f>
        <v>44371</v>
      </c>
      <c r="M145" s="43">
        <f t="shared" ca="1" si="2"/>
        <v>4</v>
      </c>
    </row>
    <row r="146" spans="1:13" x14ac:dyDescent="0.3">
      <c r="A146" s="49" t="s">
        <v>358</v>
      </c>
      <c r="B146" s="49" t="s">
        <v>73</v>
      </c>
      <c r="C146" s="50">
        <v>15043</v>
      </c>
      <c r="D146" s="51">
        <v>112706</v>
      </c>
      <c r="E146" s="52">
        <v>5058561612</v>
      </c>
      <c r="F146" s="43" t="s">
        <v>75</v>
      </c>
      <c r="G146" s="53">
        <v>124367</v>
      </c>
      <c r="H146" s="54" t="s">
        <v>70</v>
      </c>
      <c r="I146" s="54" t="s">
        <v>191</v>
      </c>
      <c r="J146" s="55" t="s">
        <v>83</v>
      </c>
      <c r="K146" s="54" t="s">
        <v>89</v>
      </c>
      <c r="L146" s="56">
        <f>36595+(6*364)</f>
        <v>38779</v>
      </c>
      <c r="M146" s="43">
        <f t="shared" ca="1" si="2"/>
        <v>19</v>
      </c>
    </row>
    <row r="147" spans="1:13" x14ac:dyDescent="0.3">
      <c r="A147" s="49" t="s">
        <v>359</v>
      </c>
      <c r="B147" s="49" t="s">
        <v>73</v>
      </c>
      <c r="C147" s="50">
        <v>82455</v>
      </c>
      <c r="D147" s="51">
        <v>34411</v>
      </c>
      <c r="E147" s="52">
        <v>5055255121</v>
      </c>
      <c r="F147" s="43" t="s">
        <v>98</v>
      </c>
      <c r="G147" s="53">
        <v>108460</v>
      </c>
      <c r="H147" s="54" t="s">
        <v>70</v>
      </c>
      <c r="I147" s="54" t="s">
        <v>357</v>
      </c>
      <c r="J147" s="55" t="s">
        <v>78</v>
      </c>
      <c r="K147" s="54" t="s">
        <v>84</v>
      </c>
      <c r="L147" s="56">
        <f>41022+(6*364)</f>
        <v>43206</v>
      </c>
      <c r="M147" s="43">
        <f t="shared" ca="1" si="2"/>
        <v>7</v>
      </c>
    </row>
    <row r="148" spans="1:13" x14ac:dyDescent="0.3">
      <c r="A148" s="49" t="s">
        <v>361</v>
      </c>
      <c r="B148" s="49" t="s">
        <v>73</v>
      </c>
      <c r="C148" s="50">
        <v>76005</v>
      </c>
      <c r="D148" s="51">
        <v>72162</v>
      </c>
      <c r="E148" s="52">
        <v>5056012031</v>
      </c>
      <c r="F148" s="43"/>
      <c r="G148" s="53">
        <v>77173</v>
      </c>
      <c r="H148" s="54" t="s">
        <v>86</v>
      </c>
      <c r="I148" s="54" t="s">
        <v>356</v>
      </c>
      <c r="J148" s="55" t="s">
        <v>88</v>
      </c>
      <c r="K148" s="54" t="s">
        <v>95</v>
      </c>
      <c r="L148" s="56">
        <f>35398+(6*364)</f>
        <v>37582</v>
      </c>
      <c r="M148" s="43">
        <f t="shared" ca="1" si="2"/>
        <v>23</v>
      </c>
    </row>
    <row r="149" spans="1:13" x14ac:dyDescent="0.3">
      <c r="A149" s="49" t="s">
        <v>363</v>
      </c>
      <c r="B149" s="49" t="s">
        <v>73</v>
      </c>
      <c r="C149" s="50">
        <v>93986</v>
      </c>
      <c r="D149" s="51">
        <v>59197</v>
      </c>
      <c r="E149" s="52">
        <v>7195978858</v>
      </c>
      <c r="F149" s="43"/>
      <c r="G149" s="53">
        <v>92006</v>
      </c>
      <c r="H149" s="54" t="s">
        <v>86</v>
      </c>
      <c r="I149" s="54" t="s">
        <v>360</v>
      </c>
      <c r="J149" s="55" t="s">
        <v>88</v>
      </c>
      <c r="K149" s="54" t="s">
        <v>103</v>
      </c>
      <c r="L149" s="56">
        <f>37336+(6*364)</f>
        <v>39520</v>
      </c>
      <c r="M149" s="43">
        <f t="shared" ca="1" si="2"/>
        <v>17</v>
      </c>
    </row>
    <row r="150" spans="1:13" x14ac:dyDescent="0.3">
      <c r="A150" s="49" t="s">
        <v>365</v>
      </c>
      <c r="B150" s="49" t="s">
        <v>73</v>
      </c>
      <c r="C150" s="50">
        <v>73815</v>
      </c>
      <c r="D150" s="51">
        <v>65642</v>
      </c>
      <c r="E150" s="52">
        <v>5053717553</v>
      </c>
      <c r="F150" s="43" t="s">
        <v>91</v>
      </c>
      <c r="G150" s="53">
        <v>123350</v>
      </c>
      <c r="H150" s="54" t="s">
        <v>70</v>
      </c>
      <c r="I150" s="54" t="s">
        <v>362</v>
      </c>
      <c r="J150" s="55" t="s">
        <v>78</v>
      </c>
      <c r="K150" s="54" t="s">
        <v>79</v>
      </c>
      <c r="L150" s="56">
        <f>41652+(6*364)</f>
        <v>43836</v>
      </c>
      <c r="M150" s="43">
        <f t="shared" ca="1" si="2"/>
        <v>5</v>
      </c>
    </row>
    <row r="151" spans="1:13" x14ac:dyDescent="0.3">
      <c r="A151" s="49" t="s">
        <v>367</v>
      </c>
      <c r="B151" s="49" t="s">
        <v>73</v>
      </c>
      <c r="C151" s="50">
        <v>43192</v>
      </c>
      <c r="D151" s="51">
        <v>47976</v>
      </c>
      <c r="E151" s="52">
        <v>9708440900</v>
      </c>
      <c r="F151" s="43" t="s">
        <v>91</v>
      </c>
      <c r="G151" s="53">
        <v>115431</v>
      </c>
      <c r="H151" s="54" t="s">
        <v>70</v>
      </c>
      <c r="I151" s="54" t="s">
        <v>364</v>
      </c>
      <c r="J151" s="55" t="s">
        <v>72</v>
      </c>
      <c r="K151" s="54" t="s">
        <v>131</v>
      </c>
      <c r="L151" s="56">
        <f>42177+(6*364)</f>
        <v>44361</v>
      </c>
      <c r="M151" s="43">
        <f t="shared" ca="1" si="2"/>
        <v>4</v>
      </c>
    </row>
    <row r="152" spans="1:13" x14ac:dyDescent="0.3">
      <c r="A152" s="49" t="s">
        <v>369</v>
      </c>
      <c r="B152" s="49" t="s">
        <v>73</v>
      </c>
      <c r="C152" s="50">
        <v>54553</v>
      </c>
      <c r="D152" s="51">
        <v>78303</v>
      </c>
      <c r="E152" s="52">
        <v>5056213620</v>
      </c>
      <c r="F152" s="43"/>
      <c r="G152" s="53">
        <v>77676</v>
      </c>
      <c r="H152" s="54" t="s">
        <v>108</v>
      </c>
      <c r="I152" s="54" t="s">
        <v>366</v>
      </c>
      <c r="J152" s="55" t="s">
        <v>72</v>
      </c>
      <c r="K152" s="54" t="s">
        <v>89</v>
      </c>
      <c r="L152" s="56">
        <f>35537+(6*364)</f>
        <v>37721</v>
      </c>
      <c r="M152" s="43">
        <f t="shared" ca="1" si="2"/>
        <v>22</v>
      </c>
    </row>
    <row r="153" spans="1:13" x14ac:dyDescent="0.3">
      <c r="A153" s="49" t="s">
        <v>370</v>
      </c>
      <c r="B153" s="49" t="s">
        <v>73</v>
      </c>
      <c r="C153" s="50">
        <v>87338</v>
      </c>
      <c r="D153" s="51">
        <v>73333</v>
      </c>
      <c r="E153" s="52">
        <v>9707936742</v>
      </c>
      <c r="F153" s="43" t="s">
        <v>98</v>
      </c>
      <c r="G153" s="53">
        <v>94675</v>
      </c>
      <c r="H153" s="54" t="s">
        <v>76</v>
      </c>
      <c r="I153" s="54" t="s">
        <v>368</v>
      </c>
      <c r="J153" s="55" t="s">
        <v>88</v>
      </c>
      <c r="K153" s="54" t="s">
        <v>106</v>
      </c>
      <c r="L153" s="56">
        <f>37772+(6*364)</f>
        <v>39956</v>
      </c>
      <c r="M153" s="43">
        <f t="shared" ca="1" si="2"/>
        <v>16</v>
      </c>
    </row>
    <row r="154" spans="1:13" x14ac:dyDescent="0.3">
      <c r="A154" s="49" t="s">
        <v>371</v>
      </c>
      <c r="B154" s="49" t="s">
        <v>73</v>
      </c>
      <c r="C154" s="50">
        <v>45605</v>
      </c>
      <c r="D154" s="51">
        <v>99435</v>
      </c>
      <c r="E154" s="52">
        <v>7197491979</v>
      </c>
      <c r="F154" s="43" t="s">
        <v>69</v>
      </c>
      <c r="G154" s="53">
        <v>127954</v>
      </c>
      <c r="H154" s="54" t="s">
        <v>70</v>
      </c>
      <c r="I154" s="54" t="s">
        <v>193</v>
      </c>
      <c r="J154" s="55" t="s">
        <v>72</v>
      </c>
      <c r="K154" s="54" t="s">
        <v>84</v>
      </c>
      <c r="L154" s="56">
        <f>38018+(6*364)</f>
        <v>40202</v>
      </c>
      <c r="M154" s="43">
        <f t="shared" ca="1" si="2"/>
        <v>15</v>
      </c>
    </row>
    <row r="155" spans="1:13" x14ac:dyDescent="0.3">
      <c r="A155" s="49" t="s">
        <v>373</v>
      </c>
      <c r="B155" s="49" t="s">
        <v>73</v>
      </c>
      <c r="C155" s="50">
        <v>54419</v>
      </c>
      <c r="D155" s="51">
        <v>61553</v>
      </c>
      <c r="E155" s="52">
        <v>5056079829</v>
      </c>
      <c r="F155" s="43" t="s">
        <v>98</v>
      </c>
      <c r="G155" s="53">
        <v>120511</v>
      </c>
      <c r="H155" s="54" t="s">
        <v>70</v>
      </c>
      <c r="I155" s="54" t="s">
        <v>296</v>
      </c>
      <c r="J155" s="55" t="s">
        <v>78</v>
      </c>
      <c r="K155" s="54" t="s">
        <v>93</v>
      </c>
      <c r="L155" s="56">
        <f>37465+(6*364)</f>
        <v>39649</v>
      </c>
      <c r="M155" s="43">
        <f t="shared" ca="1" si="2"/>
        <v>17</v>
      </c>
    </row>
    <row r="156" spans="1:13" x14ac:dyDescent="0.3">
      <c r="A156" s="49" t="s">
        <v>375</v>
      </c>
      <c r="B156" s="49" t="s">
        <v>73</v>
      </c>
      <c r="C156" s="50">
        <v>76695</v>
      </c>
      <c r="D156" s="51">
        <v>89377</v>
      </c>
      <c r="E156" s="52">
        <v>3035442791</v>
      </c>
      <c r="F156" s="43"/>
      <c r="G156" s="53">
        <v>54449</v>
      </c>
      <c r="H156" s="54" t="s">
        <v>86</v>
      </c>
      <c r="I156" s="54" t="s">
        <v>372</v>
      </c>
      <c r="J156" s="55" t="s">
        <v>78</v>
      </c>
      <c r="K156" s="54" t="s">
        <v>84</v>
      </c>
      <c r="L156" s="56">
        <f>41081+(6*364)</f>
        <v>43265</v>
      </c>
      <c r="M156" s="43">
        <f t="shared" ca="1" si="2"/>
        <v>7</v>
      </c>
    </row>
    <row r="157" spans="1:13" x14ac:dyDescent="0.3">
      <c r="A157" s="49" t="s">
        <v>376</v>
      </c>
      <c r="B157" s="49" t="s">
        <v>73</v>
      </c>
      <c r="C157" s="50">
        <v>58998</v>
      </c>
      <c r="D157" s="51">
        <v>56489</v>
      </c>
      <c r="E157" s="52">
        <v>5058669137</v>
      </c>
      <c r="F157" s="43" t="s">
        <v>98</v>
      </c>
      <c r="G157" s="53">
        <v>52181</v>
      </c>
      <c r="H157" s="54" t="s">
        <v>70</v>
      </c>
      <c r="I157" s="54" t="s">
        <v>374</v>
      </c>
      <c r="J157" s="55" t="s">
        <v>83</v>
      </c>
      <c r="K157" s="54" t="s">
        <v>172</v>
      </c>
      <c r="L157" s="56">
        <f>38481+(6*364)</f>
        <v>40665</v>
      </c>
      <c r="M157" s="43">
        <f t="shared" ca="1" si="2"/>
        <v>14</v>
      </c>
    </row>
    <row r="158" spans="1:13" x14ac:dyDescent="0.3">
      <c r="A158" s="49" t="s">
        <v>377</v>
      </c>
      <c r="B158" s="49" t="s">
        <v>73</v>
      </c>
      <c r="C158" s="50">
        <v>90027</v>
      </c>
      <c r="D158" s="51">
        <v>109956</v>
      </c>
      <c r="E158" s="52">
        <v>5052869792</v>
      </c>
      <c r="F158" s="43"/>
      <c r="G158" s="53">
        <v>88112</v>
      </c>
      <c r="H158" s="54" t="s">
        <v>86</v>
      </c>
      <c r="I158" s="54" t="s">
        <v>312</v>
      </c>
      <c r="J158" s="55" t="s">
        <v>88</v>
      </c>
      <c r="K158" s="54" t="s">
        <v>106</v>
      </c>
      <c r="L158" s="56">
        <f>35499+(6*364)</f>
        <v>37683</v>
      </c>
      <c r="M158" s="43">
        <f t="shared" ca="1" si="2"/>
        <v>22</v>
      </c>
    </row>
    <row r="159" spans="1:13" x14ac:dyDescent="0.3">
      <c r="A159" s="49" t="s">
        <v>378</v>
      </c>
      <c r="B159" s="49" t="s">
        <v>73</v>
      </c>
      <c r="C159" s="50">
        <v>61479</v>
      </c>
      <c r="D159" s="51">
        <v>126531</v>
      </c>
      <c r="E159" s="52">
        <v>3035228252</v>
      </c>
      <c r="F159" s="43" t="s">
        <v>69</v>
      </c>
      <c r="G159" s="53">
        <v>55312</v>
      </c>
      <c r="H159" s="54" t="s">
        <v>70</v>
      </c>
      <c r="I159" s="54" t="s">
        <v>20</v>
      </c>
      <c r="J159" s="55" t="s">
        <v>153</v>
      </c>
      <c r="K159" s="54" t="s">
        <v>103</v>
      </c>
      <c r="L159" s="56">
        <f>37057+(6*364)</f>
        <v>39241</v>
      </c>
      <c r="M159" s="43">
        <f t="shared" ca="1" si="2"/>
        <v>18</v>
      </c>
    </row>
    <row r="160" spans="1:13" x14ac:dyDescent="0.3">
      <c r="A160" s="49" t="s">
        <v>380</v>
      </c>
      <c r="B160" s="49" t="s">
        <v>73</v>
      </c>
      <c r="C160" s="50">
        <v>35266</v>
      </c>
      <c r="D160" s="51">
        <v>64453</v>
      </c>
      <c r="E160" s="52">
        <v>3033265407</v>
      </c>
      <c r="F160" s="43" t="s">
        <v>81</v>
      </c>
      <c r="G160" s="53">
        <v>54214</v>
      </c>
      <c r="H160" s="54" t="s">
        <v>70</v>
      </c>
      <c r="I160" s="54" t="s">
        <v>94</v>
      </c>
      <c r="J160" s="55" t="s">
        <v>72</v>
      </c>
      <c r="K160" s="54" t="s">
        <v>89</v>
      </c>
      <c r="L160" s="56">
        <f>40756+(6*364)</f>
        <v>42940</v>
      </c>
      <c r="M160" s="43">
        <f t="shared" ca="1" si="2"/>
        <v>8</v>
      </c>
    </row>
    <row r="161" spans="1:13" x14ac:dyDescent="0.3">
      <c r="A161" s="49" t="s">
        <v>387</v>
      </c>
      <c r="B161" s="49" t="s">
        <v>73</v>
      </c>
      <c r="C161" s="50">
        <v>16481</v>
      </c>
      <c r="D161" s="51">
        <v>71442</v>
      </c>
      <c r="E161" s="52">
        <v>3036100410</v>
      </c>
      <c r="F161" s="43"/>
      <c r="G161" s="53">
        <v>27947</v>
      </c>
      <c r="H161" s="54" t="s">
        <v>86</v>
      </c>
      <c r="I161" s="54" t="s">
        <v>379</v>
      </c>
      <c r="J161" s="55" t="s">
        <v>153</v>
      </c>
      <c r="K161" s="54" t="s">
        <v>79</v>
      </c>
      <c r="L161" s="56">
        <f>37977+(6*364)</f>
        <v>40161</v>
      </c>
      <c r="M161" s="43">
        <f t="shared" ca="1" si="2"/>
        <v>16</v>
      </c>
    </row>
    <row r="162" spans="1:13" x14ac:dyDescent="0.3">
      <c r="A162" s="49" t="s">
        <v>389</v>
      </c>
      <c r="B162" s="49" t="s">
        <v>73</v>
      </c>
      <c r="C162" s="50">
        <v>13107</v>
      </c>
      <c r="D162" s="51">
        <v>102024</v>
      </c>
      <c r="E162" s="52">
        <v>9707451745</v>
      </c>
      <c r="F162" s="43"/>
      <c r="G162" s="53">
        <v>54256</v>
      </c>
      <c r="H162" s="54" t="s">
        <v>86</v>
      </c>
      <c r="I162" s="54" t="s">
        <v>381</v>
      </c>
      <c r="J162" s="55" t="s">
        <v>88</v>
      </c>
      <c r="K162" s="54" t="s">
        <v>89</v>
      </c>
      <c r="L162" s="56">
        <f>38025+(6*364)</f>
        <v>40209</v>
      </c>
      <c r="M162" s="43">
        <f t="shared" ca="1" si="2"/>
        <v>15</v>
      </c>
    </row>
    <row r="163" spans="1:13" x14ac:dyDescent="0.3">
      <c r="A163" s="49" t="s">
        <v>391</v>
      </c>
      <c r="B163" s="49" t="s">
        <v>73</v>
      </c>
      <c r="C163" s="50">
        <v>32770</v>
      </c>
      <c r="D163" s="51">
        <v>50574</v>
      </c>
      <c r="E163" s="52">
        <v>5057528456</v>
      </c>
      <c r="F163" s="43"/>
      <c r="G163" s="53">
        <v>26125</v>
      </c>
      <c r="H163" s="54" t="s">
        <v>86</v>
      </c>
      <c r="I163" s="54" t="s">
        <v>383</v>
      </c>
      <c r="J163" s="55" t="s">
        <v>78</v>
      </c>
      <c r="K163" s="54" t="s">
        <v>106</v>
      </c>
      <c r="L163" s="56">
        <f>37084+(6*364)</f>
        <v>39268</v>
      </c>
      <c r="M163" s="43">
        <f t="shared" ca="1" si="2"/>
        <v>18</v>
      </c>
    </row>
    <row r="164" spans="1:13" x14ac:dyDescent="0.3">
      <c r="A164" s="49" t="s">
        <v>392</v>
      </c>
      <c r="B164" s="49" t="s">
        <v>73</v>
      </c>
      <c r="C164" s="50">
        <v>13464</v>
      </c>
      <c r="D164" s="51">
        <v>64121</v>
      </c>
      <c r="E164" s="52">
        <v>5051774590</v>
      </c>
      <c r="F164" s="43" t="s">
        <v>81</v>
      </c>
      <c r="G164" s="53">
        <v>89818</v>
      </c>
      <c r="H164" s="54" t="s">
        <v>76</v>
      </c>
      <c r="I164" s="54" t="s">
        <v>385</v>
      </c>
      <c r="J164" s="55" t="s">
        <v>88</v>
      </c>
      <c r="K164" s="54" t="s">
        <v>89</v>
      </c>
      <c r="L164" s="56">
        <f>36328+(6*364)</f>
        <v>38512</v>
      </c>
      <c r="M164" s="43">
        <f t="shared" ca="1" si="2"/>
        <v>20</v>
      </c>
    </row>
    <row r="165" spans="1:13" x14ac:dyDescent="0.3">
      <c r="A165" s="49" t="s">
        <v>394</v>
      </c>
      <c r="B165" s="49" t="s">
        <v>73</v>
      </c>
      <c r="C165" s="50">
        <v>18551</v>
      </c>
      <c r="D165" s="51">
        <v>36022</v>
      </c>
      <c r="E165" s="52">
        <v>9704194193</v>
      </c>
      <c r="F165" s="43" t="s">
        <v>69</v>
      </c>
      <c r="G165" s="53">
        <v>107247</v>
      </c>
      <c r="H165" s="54" t="s">
        <v>76</v>
      </c>
      <c r="I165" s="54" t="s">
        <v>97</v>
      </c>
      <c r="J165" s="55" t="s">
        <v>88</v>
      </c>
      <c r="K165" s="54" t="s">
        <v>204</v>
      </c>
      <c r="L165" s="56">
        <f>35244+(6*364)</f>
        <v>37428</v>
      </c>
      <c r="M165" s="43">
        <f t="shared" ca="1" si="2"/>
        <v>23</v>
      </c>
    </row>
    <row r="166" spans="1:13" x14ac:dyDescent="0.3">
      <c r="A166" s="49" t="s">
        <v>396</v>
      </c>
      <c r="B166" s="49" t="s">
        <v>73</v>
      </c>
      <c r="C166" s="50">
        <v>20512</v>
      </c>
      <c r="D166" s="51">
        <v>89451</v>
      </c>
      <c r="E166" s="52">
        <v>7191588597</v>
      </c>
      <c r="F166" s="43" t="s">
        <v>75</v>
      </c>
      <c r="G166" s="53">
        <v>118686</v>
      </c>
      <c r="H166" s="54" t="s">
        <v>70</v>
      </c>
      <c r="I166" s="54" t="s">
        <v>388</v>
      </c>
      <c r="J166" s="55" t="s">
        <v>83</v>
      </c>
      <c r="K166" s="54" t="s">
        <v>158</v>
      </c>
      <c r="L166" s="56">
        <f>38266+(6*364)</f>
        <v>40450</v>
      </c>
      <c r="M166" s="43">
        <f t="shared" ca="1" si="2"/>
        <v>15</v>
      </c>
    </row>
    <row r="167" spans="1:13" x14ac:dyDescent="0.3">
      <c r="A167" s="49" t="s">
        <v>398</v>
      </c>
      <c r="B167" s="49" t="s">
        <v>73</v>
      </c>
      <c r="C167" s="50">
        <v>23660</v>
      </c>
      <c r="D167" s="51">
        <v>73312</v>
      </c>
      <c r="E167" s="52">
        <v>9701675237</v>
      </c>
      <c r="F167" s="43"/>
      <c r="G167" s="53">
        <v>107872</v>
      </c>
      <c r="H167" s="54" t="s">
        <v>108</v>
      </c>
      <c r="I167" s="54" t="s">
        <v>390</v>
      </c>
      <c r="J167" s="55" t="s">
        <v>72</v>
      </c>
      <c r="K167" s="54" t="s">
        <v>84</v>
      </c>
      <c r="L167" s="56">
        <f>36799+(6*364)</f>
        <v>38983</v>
      </c>
      <c r="M167" s="43">
        <f t="shared" ca="1" si="2"/>
        <v>19</v>
      </c>
    </row>
    <row r="168" spans="1:13" x14ac:dyDescent="0.3">
      <c r="A168" s="49" t="s">
        <v>400</v>
      </c>
      <c r="B168" s="49" t="s">
        <v>73</v>
      </c>
      <c r="C168" s="50">
        <v>24235</v>
      </c>
      <c r="D168" s="51">
        <v>73137</v>
      </c>
      <c r="E168" s="52">
        <v>5055796953</v>
      </c>
      <c r="F168" s="43" t="s">
        <v>98</v>
      </c>
      <c r="G168" s="53">
        <v>51482</v>
      </c>
      <c r="H168" s="54" t="s">
        <v>76</v>
      </c>
      <c r="I168" s="54" t="s">
        <v>283</v>
      </c>
      <c r="J168" s="55" t="s">
        <v>72</v>
      </c>
      <c r="K168" s="54" t="s">
        <v>146</v>
      </c>
      <c r="L168" s="56">
        <f>37371+(6*364)</f>
        <v>39555</v>
      </c>
      <c r="M168" s="43">
        <f t="shared" ca="1" si="2"/>
        <v>17</v>
      </c>
    </row>
    <row r="169" spans="1:13" x14ac:dyDescent="0.3">
      <c r="A169" s="49" t="s">
        <v>402</v>
      </c>
      <c r="B169" s="49" t="s">
        <v>73</v>
      </c>
      <c r="C169" s="50">
        <v>35665</v>
      </c>
      <c r="D169" s="51">
        <v>72906</v>
      </c>
      <c r="E169" s="52">
        <v>7198159919</v>
      </c>
      <c r="F169" s="43" t="s">
        <v>98</v>
      </c>
      <c r="G169" s="53">
        <v>127672</v>
      </c>
      <c r="H169" s="54" t="s">
        <v>70</v>
      </c>
      <c r="I169" s="54" t="s">
        <v>393</v>
      </c>
      <c r="J169" s="55" t="s">
        <v>100</v>
      </c>
      <c r="K169" s="54" t="s">
        <v>19</v>
      </c>
      <c r="L169" s="56">
        <f>35770+(6*364)</f>
        <v>37954</v>
      </c>
      <c r="M169" s="43">
        <f t="shared" ca="1" si="2"/>
        <v>22</v>
      </c>
    </row>
    <row r="170" spans="1:13" x14ac:dyDescent="0.3">
      <c r="A170" s="49" t="s">
        <v>404</v>
      </c>
      <c r="B170" s="49" t="s">
        <v>73</v>
      </c>
      <c r="C170" s="50">
        <v>17813</v>
      </c>
      <c r="D170" s="51">
        <v>68640</v>
      </c>
      <c r="E170" s="52">
        <v>9706920236</v>
      </c>
      <c r="F170" s="43"/>
      <c r="G170" s="53">
        <v>114504</v>
      </c>
      <c r="H170" s="54" t="s">
        <v>108</v>
      </c>
      <c r="I170" s="54" t="s">
        <v>395</v>
      </c>
      <c r="J170" s="55" t="s">
        <v>88</v>
      </c>
      <c r="K170" s="54" t="s">
        <v>172</v>
      </c>
      <c r="L170" s="56">
        <f>38455+(6*364)</f>
        <v>40639</v>
      </c>
      <c r="M170" s="43">
        <f t="shared" ca="1" si="2"/>
        <v>14</v>
      </c>
    </row>
    <row r="171" spans="1:13" x14ac:dyDescent="0.3">
      <c r="A171" s="49" t="s">
        <v>320</v>
      </c>
      <c r="B171" s="49" t="s">
        <v>355</v>
      </c>
      <c r="C171" s="50">
        <v>12577</v>
      </c>
      <c r="D171" s="51">
        <v>136340</v>
      </c>
      <c r="E171" s="52">
        <v>7192543210</v>
      </c>
      <c r="F171" s="43" t="s">
        <v>69</v>
      </c>
      <c r="G171" s="53">
        <v>122035</v>
      </c>
      <c r="H171" s="54" t="s">
        <v>70</v>
      </c>
      <c r="I171" s="54" t="s">
        <v>397</v>
      </c>
      <c r="J171" s="55" t="s">
        <v>88</v>
      </c>
      <c r="K171" s="54" t="s">
        <v>89</v>
      </c>
      <c r="L171" s="56">
        <f>41620+(6*364)</f>
        <v>43804</v>
      </c>
      <c r="M171" s="43">
        <f t="shared" ca="1" si="2"/>
        <v>6</v>
      </c>
    </row>
    <row r="172" spans="1:13" x14ac:dyDescent="0.3">
      <c r="A172" s="49" t="s">
        <v>406</v>
      </c>
      <c r="B172" s="49" t="s">
        <v>355</v>
      </c>
      <c r="C172" s="50">
        <v>53192</v>
      </c>
      <c r="D172" s="51">
        <v>64508</v>
      </c>
      <c r="E172" s="52">
        <v>7193279828</v>
      </c>
      <c r="F172" s="43" t="s">
        <v>98</v>
      </c>
      <c r="G172" s="53">
        <v>93683</v>
      </c>
      <c r="H172" s="54" t="s">
        <v>70</v>
      </c>
      <c r="I172" s="54" t="s">
        <v>399</v>
      </c>
      <c r="J172" s="55" t="s">
        <v>153</v>
      </c>
      <c r="K172" s="54" t="s">
        <v>189</v>
      </c>
      <c r="L172" s="56">
        <f>38106+(6*364)</f>
        <v>40290</v>
      </c>
      <c r="M172" s="43">
        <f t="shared" ca="1" si="2"/>
        <v>15</v>
      </c>
    </row>
    <row r="173" spans="1:13" x14ac:dyDescent="0.3">
      <c r="A173" s="49" t="s">
        <v>408</v>
      </c>
      <c r="B173" s="49" t="s">
        <v>355</v>
      </c>
      <c r="C173" s="50">
        <v>68782</v>
      </c>
      <c r="D173" s="51">
        <v>71203</v>
      </c>
      <c r="E173" s="52">
        <v>9704919418</v>
      </c>
      <c r="F173" s="43" t="s">
        <v>98</v>
      </c>
      <c r="G173" s="53">
        <v>106548</v>
      </c>
      <c r="H173" s="54" t="s">
        <v>70</v>
      </c>
      <c r="I173" s="54" t="s">
        <v>401</v>
      </c>
      <c r="J173" s="55" t="s">
        <v>88</v>
      </c>
      <c r="K173" s="54" t="s">
        <v>93</v>
      </c>
      <c r="L173" s="56">
        <f>42548+(6*364)</f>
        <v>44732</v>
      </c>
      <c r="M173" s="43">
        <f t="shared" ca="1" si="2"/>
        <v>3</v>
      </c>
    </row>
    <row r="174" spans="1:13" x14ac:dyDescent="0.3">
      <c r="A174" s="49" t="s">
        <v>409</v>
      </c>
      <c r="B174" s="49" t="s">
        <v>355</v>
      </c>
      <c r="C174" s="50">
        <v>92941</v>
      </c>
      <c r="D174" s="51">
        <v>107627</v>
      </c>
      <c r="E174" s="52">
        <v>7198244224</v>
      </c>
      <c r="F174" s="43"/>
      <c r="G174" s="53">
        <v>86959</v>
      </c>
      <c r="H174" s="54" t="s">
        <v>108</v>
      </c>
      <c r="I174" s="54" t="s">
        <v>403</v>
      </c>
      <c r="J174" s="55" t="s">
        <v>88</v>
      </c>
      <c r="K174" s="54" t="s">
        <v>172</v>
      </c>
      <c r="L174" s="56">
        <f>37326+(6*364)</f>
        <v>39510</v>
      </c>
      <c r="M174" s="43">
        <f t="shared" ca="1" si="2"/>
        <v>17</v>
      </c>
    </row>
    <row r="175" spans="1:13" x14ac:dyDescent="0.3">
      <c r="A175" s="49" t="s">
        <v>411</v>
      </c>
      <c r="B175" s="49" t="s">
        <v>355</v>
      </c>
      <c r="C175" s="50">
        <v>14546</v>
      </c>
      <c r="D175" s="51">
        <v>72322</v>
      </c>
      <c r="E175" s="52">
        <v>5056860208</v>
      </c>
      <c r="F175" s="43"/>
      <c r="G175" s="53">
        <v>45612</v>
      </c>
      <c r="H175" s="54" t="s">
        <v>108</v>
      </c>
      <c r="I175" s="54" t="s">
        <v>297</v>
      </c>
      <c r="J175" s="55" t="s">
        <v>88</v>
      </c>
      <c r="K175" s="54" t="s">
        <v>89</v>
      </c>
      <c r="L175" s="56">
        <f>37080+(6*364)</f>
        <v>39264</v>
      </c>
      <c r="M175" s="43">
        <f t="shared" ca="1" si="2"/>
        <v>18</v>
      </c>
    </row>
    <row r="176" spans="1:13" x14ac:dyDescent="0.3">
      <c r="A176" s="49" t="s">
        <v>413</v>
      </c>
      <c r="B176" s="49" t="s">
        <v>355</v>
      </c>
      <c r="C176" s="50">
        <v>54267</v>
      </c>
      <c r="D176" s="51">
        <v>67447</v>
      </c>
      <c r="E176" s="52">
        <v>9706633751</v>
      </c>
      <c r="F176" s="43"/>
      <c r="G176" s="53">
        <v>67032</v>
      </c>
      <c r="H176" s="54" t="s">
        <v>86</v>
      </c>
      <c r="I176" s="54" t="s">
        <v>405</v>
      </c>
      <c r="J176" s="55" t="s">
        <v>72</v>
      </c>
      <c r="K176" s="54" t="s">
        <v>93</v>
      </c>
      <c r="L176" s="56">
        <f>37882+(6*364)</f>
        <v>40066</v>
      </c>
      <c r="M176" s="43">
        <f t="shared" ca="1" si="2"/>
        <v>16</v>
      </c>
    </row>
    <row r="177" spans="1:13" x14ac:dyDescent="0.3">
      <c r="A177" s="49" t="s">
        <v>415</v>
      </c>
      <c r="B177" s="49" t="s">
        <v>355</v>
      </c>
      <c r="C177" s="50">
        <v>45397</v>
      </c>
      <c r="D177" s="51">
        <v>78342</v>
      </c>
      <c r="E177" s="52">
        <v>3031155509</v>
      </c>
      <c r="F177" s="43"/>
      <c r="G177" s="53">
        <v>58699</v>
      </c>
      <c r="H177" s="54" t="s">
        <v>86</v>
      </c>
      <c r="I177" s="54" t="s">
        <v>407</v>
      </c>
      <c r="J177" s="55" t="s">
        <v>78</v>
      </c>
      <c r="K177" s="54" t="s">
        <v>89</v>
      </c>
      <c r="L177" s="56">
        <f>38046+(6*364)</f>
        <v>40230</v>
      </c>
      <c r="M177" s="43">
        <f t="shared" ca="1" si="2"/>
        <v>15</v>
      </c>
    </row>
    <row r="178" spans="1:13" x14ac:dyDescent="0.3">
      <c r="A178" s="49" t="s">
        <v>417</v>
      </c>
      <c r="B178" s="49" t="s">
        <v>355</v>
      </c>
      <c r="C178" s="50">
        <v>53541</v>
      </c>
      <c r="D178" s="51">
        <v>110219</v>
      </c>
      <c r="E178" s="52">
        <v>5055085320</v>
      </c>
      <c r="F178" s="43" t="s">
        <v>81</v>
      </c>
      <c r="G178" s="53">
        <v>109823</v>
      </c>
      <c r="H178" s="54" t="s">
        <v>70</v>
      </c>
      <c r="I178" s="54" t="s">
        <v>194</v>
      </c>
      <c r="J178" s="55" t="s">
        <v>88</v>
      </c>
      <c r="K178" s="54" t="s">
        <v>95</v>
      </c>
      <c r="L178" s="56">
        <f>39706+(6*364)</f>
        <v>41890</v>
      </c>
      <c r="M178" s="43">
        <f t="shared" ca="1" si="2"/>
        <v>11</v>
      </c>
    </row>
    <row r="179" spans="1:13" x14ac:dyDescent="0.3">
      <c r="A179" s="49" t="s">
        <v>87</v>
      </c>
      <c r="B179" s="49" t="s">
        <v>89</v>
      </c>
      <c r="C179" s="50">
        <v>48189</v>
      </c>
      <c r="D179" s="51">
        <v>89421</v>
      </c>
      <c r="E179" s="52">
        <v>5051656242</v>
      </c>
      <c r="F179" s="43" t="s">
        <v>75</v>
      </c>
      <c r="G179" s="53">
        <v>87245</v>
      </c>
      <c r="H179" s="54" t="s">
        <v>70</v>
      </c>
      <c r="I179" s="54" t="s">
        <v>410</v>
      </c>
      <c r="J179" s="55" t="s">
        <v>88</v>
      </c>
      <c r="K179" s="54" t="s">
        <v>204</v>
      </c>
      <c r="L179" s="56">
        <f>35364+(6*364)</f>
        <v>37548</v>
      </c>
      <c r="M179" s="43">
        <f t="shared" ca="1" si="2"/>
        <v>23</v>
      </c>
    </row>
    <row r="180" spans="1:13" x14ac:dyDescent="0.3">
      <c r="A180" s="49" t="s">
        <v>92</v>
      </c>
      <c r="B180" s="49" t="s">
        <v>89</v>
      </c>
      <c r="C180" s="50">
        <v>27499</v>
      </c>
      <c r="D180" s="51">
        <v>83659</v>
      </c>
      <c r="E180" s="52">
        <v>5056698101</v>
      </c>
      <c r="F180" s="43" t="s">
        <v>75</v>
      </c>
      <c r="G180" s="53">
        <v>35826</v>
      </c>
      <c r="H180" s="54" t="s">
        <v>70</v>
      </c>
      <c r="I180" s="54" t="s">
        <v>412</v>
      </c>
      <c r="J180" s="55" t="s">
        <v>100</v>
      </c>
      <c r="K180" s="54" t="s">
        <v>93</v>
      </c>
      <c r="L180" s="56">
        <f>42178+(6*364)</f>
        <v>44362</v>
      </c>
      <c r="M180" s="43">
        <f t="shared" ca="1" si="2"/>
        <v>4</v>
      </c>
    </row>
    <row r="181" spans="1:13" x14ac:dyDescent="0.3">
      <c r="A181" s="49" t="s">
        <v>105</v>
      </c>
      <c r="B181" s="49" t="s">
        <v>89</v>
      </c>
      <c r="C181" s="50">
        <v>69043</v>
      </c>
      <c r="D181" s="51">
        <v>94486</v>
      </c>
      <c r="E181" s="52">
        <v>9703986051</v>
      </c>
      <c r="F181" s="43" t="s">
        <v>91</v>
      </c>
      <c r="G181" s="53">
        <v>96464</v>
      </c>
      <c r="H181" s="54" t="s">
        <v>76</v>
      </c>
      <c r="I181" s="54" t="s">
        <v>414</v>
      </c>
      <c r="J181" s="55" t="s">
        <v>72</v>
      </c>
      <c r="K181" s="54" t="s">
        <v>93</v>
      </c>
      <c r="L181" s="56">
        <f>37093+(6*364)</f>
        <v>39277</v>
      </c>
      <c r="M181" s="43">
        <f t="shared" ca="1" si="2"/>
        <v>18</v>
      </c>
    </row>
    <row r="182" spans="1:13" x14ac:dyDescent="0.3">
      <c r="A182" s="49" t="s">
        <v>115</v>
      </c>
      <c r="B182" s="49" t="s">
        <v>89</v>
      </c>
      <c r="C182" s="50">
        <v>14208</v>
      </c>
      <c r="D182" s="51">
        <v>92346</v>
      </c>
      <c r="E182" s="52">
        <v>7193709408</v>
      </c>
      <c r="F182" s="43"/>
      <c r="G182" s="53">
        <v>71820</v>
      </c>
      <c r="H182" s="54" t="s">
        <v>86</v>
      </c>
      <c r="I182" s="54" t="s">
        <v>416</v>
      </c>
      <c r="J182" s="55" t="s">
        <v>72</v>
      </c>
      <c r="K182" s="54" t="s">
        <v>159</v>
      </c>
      <c r="L182" s="56">
        <f>41341+(6*364)</f>
        <v>43525</v>
      </c>
      <c r="M182" s="43">
        <f t="shared" ca="1" si="2"/>
        <v>6</v>
      </c>
    </row>
    <row r="183" spans="1:13" x14ac:dyDescent="0.3">
      <c r="A183" s="49" t="s">
        <v>119</v>
      </c>
      <c r="B183" s="49" t="s">
        <v>89</v>
      </c>
      <c r="C183" s="50">
        <v>81721</v>
      </c>
      <c r="D183" s="51">
        <v>58826</v>
      </c>
      <c r="E183" s="52">
        <v>5057362525</v>
      </c>
      <c r="F183" s="43" t="s">
        <v>98</v>
      </c>
      <c r="G183" s="53">
        <v>39293</v>
      </c>
      <c r="H183" s="54" t="s">
        <v>70</v>
      </c>
      <c r="I183" s="54" t="s">
        <v>418</v>
      </c>
      <c r="J183" s="55" t="s">
        <v>88</v>
      </c>
      <c r="K183" s="54" t="s">
        <v>95</v>
      </c>
      <c r="L183" s="56">
        <f>40066+(6*364)</f>
        <v>42250</v>
      </c>
      <c r="M183" s="43">
        <f t="shared" ca="1" si="2"/>
        <v>10</v>
      </c>
    </row>
    <row r="184" spans="1:13" x14ac:dyDescent="0.3">
      <c r="A184" s="49" t="s">
        <v>127</v>
      </c>
      <c r="B184" s="49" t="s">
        <v>89</v>
      </c>
      <c r="C184" s="50">
        <v>66856</v>
      </c>
      <c r="D184" s="51">
        <v>50429</v>
      </c>
      <c r="E184" s="52">
        <v>7192581491</v>
      </c>
      <c r="F184" s="43"/>
      <c r="G184" s="53">
        <v>92414</v>
      </c>
      <c r="H184" s="54" t="s">
        <v>86</v>
      </c>
      <c r="I184" s="54" t="s">
        <v>419</v>
      </c>
      <c r="J184" s="55" t="s">
        <v>153</v>
      </c>
      <c r="K184" s="54" t="s">
        <v>79</v>
      </c>
      <c r="L184" s="56">
        <f>41365+(6*364)</f>
        <v>43549</v>
      </c>
      <c r="M184" s="43">
        <f t="shared" ca="1" si="2"/>
        <v>6</v>
      </c>
    </row>
    <row r="185" spans="1:13" x14ac:dyDescent="0.3">
      <c r="A185" s="49" t="s">
        <v>152</v>
      </c>
      <c r="B185" s="49" t="s">
        <v>89</v>
      </c>
      <c r="C185" s="50">
        <v>36389</v>
      </c>
      <c r="D185" s="51">
        <v>71924</v>
      </c>
      <c r="E185" s="52">
        <v>9707288082</v>
      </c>
      <c r="F185" s="43"/>
      <c r="G185" s="53">
        <v>34646</v>
      </c>
      <c r="H185" s="54" t="s">
        <v>86</v>
      </c>
      <c r="I185" s="54" t="s">
        <v>420</v>
      </c>
      <c r="J185" s="55" t="s">
        <v>72</v>
      </c>
      <c r="K185" s="54" t="s">
        <v>172</v>
      </c>
      <c r="L185" s="56">
        <f>35838+(6*364)</f>
        <v>38022</v>
      </c>
      <c r="M185" s="43">
        <f t="shared" ca="1" si="2"/>
        <v>21</v>
      </c>
    </row>
    <row r="186" spans="1:13" x14ac:dyDescent="0.3">
      <c r="A186" s="49" t="s">
        <v>160</v>
      </c>
      <c r="B186" s="49" t="s">
        <v>89</v>
      </c>
      <c r="C186" s="50">
        <v>36990</v>
      </c>
      <c r="D186" s="51">
        <v>78696</v>
      </c>
      <c r="E186" s="52">
        <v>9707660273</v>
      </c>
      <c r="F186" s="43"/>
      <c r="G186" s="53">
        <v>126401</v>
      </c>
      <c r="H186" s="54" t="s">
        <v>108</v>
      </c>
      <c r="I186" s="54" t="s">
        <v>421</v>
      </c>
      <c r="J186" s="55" t="s">
        <v>88</v>
      </c>
      <c r="K186" s="54" t="s">
        <v>89</v>
      </c>
      <c r="L186" s="56">
        <f>35572+(6*364)</f>
        <v>37756</v>
      </c>
      <c r="M186" s="43">
        <f t="shared" ca="1" si="2"/>
        <v>22</v>
      </c>
    </row>
    <row r="187" spans="1:13" x14ac:dyDescent="0.3">
      <c r="A187" s="49" t="s">
        <v>164</v>
      </c>
      <c r="B187" s="49" t="s">
        <v>89</v>
      </c>
      <c r="C187" s="50">
        <v>68571</v>
      </c>
      <c r="D187" s="51">
        <v>114293</v>
      </c>
      <c r="E187" s="52">
        <v>9701963194</v>
      </c>
      <c r="F187" s="43" t="s">
        <v>91</v>
      </c>
      <c r="G187" s="53">
        <v>49144</v>
      </c>
      <c r="H187" s="54" t="s">
        <v>70</v>
      </c>
      <c r="I187" s="54" t="s">
        <v>422</v>
      </c>
      <c r="J187" s="55" t="s">
        <v>88</v>
      </c>
      <c r="K187" s="54" t="s">
        <v>79</v>
      </c>
      <c r="L187" s="56">
        <f>35117+(6*364)</f>
        <v>37301</v>
      </c>
      <c r="M187" s="43">
        <f t="shared" ca="1" si="2"/>
        <v>23</v>
      </c>
    </row>
    <row r="188" spans="1:13" x14ac:dyDescent="0.3">
      <c r="A188" s="49" t="s">
        <v>170</v>
      </c>
      <c r="B188" s="49" t="s">
        <v>89</v>
      </c>
      <c r="C188" s="50">
        <v>43617</v>
      </c>
      <c r="D188" s="51">
        <v>72831</v>
      </c>
      <c r="E188" s="52">
        <v>9705295649</v>
      </c>
      <c r="F188" s="43" t="s">
        <v>98</v>
      </c>
      <c r="G188" s="53">
        <v>80790</v>
      </c>
      <c r="H188" s="54" t="s">
        <v>70</v>
      </c>
      <c r="I188" s="54" t="s">
        <v>423</v>
      </c>
      <c r="J188" s="55" t="s">
        <v>83</v>
      </c>
      <c r="K188" s="54" t="s">
        <v>89</v>
      </c>
      <c r="L188" s="56">
        <f>37754+(6*364)</f>
        <v>39938</v>
      </c>
      <c r="M188" s="43">
        <f t="shared" ca="1" si="2"/>
        <v>16</v>
      </c>
    </row>
    <row r="189" spans="1:13" x14ac:dyDescent="0.3">
      <c r="A189" s="49" t="s">
        <v>179</v>
      </c>
      <c r="B189" s="49" t="s">
        <v>89</v>
      </c>
      <c r="C189" s="50">
        <v>50719</v>
      </c>
      <c r="D189" s="51">
        <v>100380</v>
      </c>
      <c r="E189" s="52">
        <v>3938138394</v>
      </c>
      <c r="F189" s="43" t="s">
        <v>98</v>
      </c>
      <c r="G189" s="53">
        <v>93311</v>
      </c>
      <c r="H189" s="54" t="s">
        <v>70</v>
      </c>
      <c r="I189" s="54" t="s">
        <v>424</v>
      </c>
      <c r="J189" s="55" t="s">
        <v>78</v>
      </c>
      <c r="K189" s="54" t="s">
        <v>106</v>
      </c>
      <c r="L189" s="56">
        <f>37591+(6*364)</f>
        <v>39775</v>
      </c>
      <c r="M189" s="43">
        <f t="shared" ca="1" si="2"/>
        <v>17</v>
      </c>
    </row>
    <row r="190" spans="1:13" x14ac:dyDescent="0.3">
      <c r="A190" s="49" t="s">
        <v>188</v>
      </c>
      <c r="B190" s="49" t="s">
        <v>89</v>
      </c>
      <c r="C190" s="50">
        <v>59144</v>
      </c>
      <c r="D190" s="51">
        <v>121904</v>
      </c>
      <c r="E190" s="52">
        <v>5053922629</v>
      </c>
      <c r="F190" s="43" t="s">
        <v>98</v>
      </c>
      <c r="G190" s="53">
        <v>98767</v>
      </c>
      <c r="H190" s="54" t="s">
        <v>70</v>
      </c>
      <c r="I190" s="54" t="s">
        <v>425</v>
      </c>
      <c r="J190" s="55" t="s">
        <v>88</v>
      </c>
      <c r="K190" s="54" t="s">
        <v>73</v>
      </c>
      <c r="L190" s="56">
        <f>42160+(6*364)</f>
        <v>44344</v>
      </c>
      <c r="M190" s="43">
        <f t="shared" ca="1" si="2"/>
        <v>4</v>
      </c>
    </row>
    <row r="191" spans="1:13" x14ac:dyDescent="0.3">
      <c r="A191" s="49" t="s">
        <v>201</v>
      </c>
      <c r="B191" s="49" t="s">
        <v>89</v>
      </c>
      <c r="C191" s="50">
        <v>11809</v>
      </c>
      <c r="D191" s="51">
        <v>52583</v>
      </c>
      <c r="E191" s="52">
        <v>3033909820</v>
      </c>
      <c r="F191" s="43" t="s">
        <v>98</v>
      </c>
      <c r="G191" s="53">
        <v>68127</v>
      </c>
      <c r="H191" s="54" t="s">
        <v>70</v>
      </c>
      <c r="I191" s="54" t="s">
        <v>426</v>
      </c>
      <c r="J191" s="55" t="s">
        <v>153</v>
      </c>
      <c r="K191" s="54" t="s">
        <v>89</v>
      </c>
      <c r="L191" s="56">
        <f>37991+(6*364)</f>
        <v>40175</v>
      </c>
      <c r="M191" s="43">
        <f t="shared" ca="1" si="2"/>
        <v>15</v>
      </c>
    </row>
    <row r="192" spans="1:13" x14ac:dyDescent="0.3">
      <c r="A192" s="49" t="s">
        <v>203</v>
      </c>
      <c r="B192" s="49" t="s">
        <v>89</v>
      </c>
      <c r="C192" s="50">
        <v>26800</v>
      </c>
      <c r="D192" s="51">
        <v>73224</v>
      </c>
      <c r="E192" s="52">
        <v>5054694617</v>
      </c>
      <c r="F192" s="43"/>
      <c r="G192" s="53">
        <v>93068</v>
      </c>
      <c r="H192" s="54" t="s">
        <v>86</v>
      </c>
      <c r="I192" s="54" t="s">
        <v>427</v>
      </c>
      <c r="J192" s="55" t="s">
        <v>72</v>
      </c>
      <c r="K192" s="54" t="s">
        <v>172</v>
      </c>
      <c r="L192" s="56">
        <f>37332+(6*364)</f>
        <v>39516</v>
      </c>
      <c r="M192" s="43">
        <f t="shared" ca="1" si="2"/>
        <v>17</v>
      </c>
    </row>
    <row r="193" spans="1:13" x14ac:dyDescent="0.3">
      <c r="A193" s="49" t="s">
        <v>229</v>
      </c>
      <c r="B193" s="49" t="s">
        <v>89</v>
      </c>
      <c r="C193" s="50">
        <v>90889</v>
      </c>
      <c r="D193" s="51">
        <v>125921</v>
      </c>
      <c r="E193" s="52">
        <v>9705317859</v>
      </c>
      <c r="F193" s="43" t="s">
        <v>69</v>
      </c>
      <c r="G193" s="53">
        <v>38926</v>
      </c>
      <c r="H193" s="54" t="s">
        <v>70</v>
      </c>
      <c r="I193" s="54" t="s">
        <v>358</v>
      </c>
      <c r="J193" s="55" t="s">
        <v>88</v>
      </c>
      <c r="K193" s="54" t="s">
        <v>89</v>
      </c>
      <c r="L193" s="56">
        <f>37280+(6*364)</f>
        <v>39464</v>
      </c>
      <c r="M193" s="43">
        <f t="shared" ca="1" si="2"/>
        <v>17</v>
      </c>
    </row>
    <row r="194" spans="1:13" x14ac:dyDescent="0.3">
      <c r="A194" s="49" t="s">
        <v>234</v>
      </c>
      <c r="B194" s="49" t="s">
        <v>89</v>
      </c>
      <c r="C194" s="50">
        <v>25130</v>
      </c>
      <c r="D194" s="51">
        <v>42902</v>
      </c>
      <c r="E194" s="52">
        <v>3035717431</v>
      </c>
      <c r="F194" s="43" t="s">
        <v>98</v>
      </c>
      <c r="G194" s="53">
        <v>49281</v>
      </c>
      <c r="H194" s="54" t="s">
        <v>70</v>
      </c>
      <c r="I194" s="54" t="s">
        <v>428</v>
      </c>
      <c r="J194" s="55" t="s">
        <v>88</v>
      </c>
      <c r="K194" s="54" t="s">
        <v>106</v>
      </c>
      <c r="L194" s="56">
        <f>42198+(6*364)</f>
        <v>44382</v>
      </c>
      <c r="M194" s="43">
        <f t="shared" ref="M194:M257" ca="1" si="3">DATEDIF(L194,TODAY(),"Y")</f>
        <v>4</v>
      </c>
    </row>
    <row r="195" spans="1:13" x14ac:dyDescent="0.3">
      <c r="A195" s="49" t="s">
        <v>242</v>
      </c>
      <c r="B195" s="49" t="s">
        <v>89</v>
      </c>
      <c r="C195" s="50">
        <v>62305</v>
      </c>
      <c r="D195" s="51">
        <v>68052</v>
      </c>
      <c r="E195" s="52">
        <v>5138449868</v>
      </c>
      <c r="F195" s="43" t="s">
        <v>98</v>
      </c>
      <c r="G195" s="53">
        <v>128920</v>
      </c>
      <c r="H195" s="54" t="s">
        <v>70</v>
      </c>
      <c r="I195" s="54" t="s">
        <v>198</v>
      </c>
      <c r="J195" s="55" t="s">
        <v>72</v>
      </c>
      <c r="K195" s="54" t="s">
        <v>89</v>
      </c>
      <c r="L195" s="56">
        <f>40588+(6*364)</f>
        <v>42772</v>
      </c>
      <c r="M195" s="43">
        <f t="shared" ca="1" si="3"/>
        <v>8</v>
      </c>
    </row>
    <row r="196" spans="1:13" x14ac:dyDescent="0.3">
      <c r="A196" s="49" t="s">
        <v>246</v>
      </c>
      <c r="B196" s="49" t="s">
        <v>89</v>
      </c>
      <c r="C196" s="50">
        <v>41382</v>
      </c>
      <c r="D196" s="51">
        <v>79062</v>
      </c>
      <c r="E196" s="52">
        <v>3037188067</v>
      </c>
      <c r="F196" s="43"/>
      <c r="G196" s="53">
        <v>25842</v>
      </c>
      <c r="H196" s="54" t="s">
        <v>86</v>
      </c>
      <c r="I196" s="54" t="s">
        <v>359</v>
      </c>
      <c r="J196" s="55" t="s">
        <v>88</v>
      </c>
      <c r="K196" s="54" t="s">
        <v>84</v>
      </c>
      <c r="L196" s="56">
        <f>35243+(6*364)</f>
        <v>37427</v>
      </c>
      <c r="M196" s="43">
        <f t="shared" ca="1" si="3"/>
        <v>23</v>
      </c>
    </row>
    <row r="197" spans="1:13" x14ac:dyDescent="0.3">
      <c r="A197" s="49" t="s">
        <v>248</v>
      </c>
      <c r="B197" s="49" t="s">
        <v>89</v>
      </c>
      <c r="C197" s="50">
        <v>47400</v>
      </c>
      <c r="D197" s="51">
        <v>55594</v>
      </c>
      <c r="E197" s="52">
        <v>5055526537</v>
      </c>
      <c r="F197" s="43" t="s">
        <v>91</v>
      </c>
      <c r="G197" s="53">
        <v>103350</v>
      </c>
      <c r="H197" s="54" t="s">
        <v>70</v>
      </c>
      <c r="I197" s="54" t="s">
        <v>361</v>
      </c>
      <c r="J197" s="55" t="s">
        <v>153</v>
      </c>
      <c r="K197" s="54" t="s">
        <v>73</v>
      </c>
      <c r="L197" s="56">
        <f>38187+(6*364)</f>
        <v>40371</v>
      </c>
      <c r="M197" s="43">
        <f t="shared" ca="1" si="3"/>
        <v>15</v>
      </c>
    </row>
    <row r="198" spans="1:13" x14ac:dyDescent="0.3">
      <c r="A198" s="49" t="s">
        <v>271</v>
      </c>
      <c r="B198" s="49" t="s">
        <v>89</v>
      </c>
      <c r="C198" s="50">
        <v>24257</v>
      </c>
      <c r="D198" s="51">
        <v>98749</v>
      </c>
      <c r="E198" s="52">
        <v>3036563683</v>
      </c>
      <c r="F198" s="43" t="s">
        <v>75</v>
      </c>
      <c r="G198" s="53">
        <v>29652</v>
      </c>
      <c r="H198" s="54" t="s">
        <v>86</v>
      </c>
      <c r="I198" s="54" t="s">
        <v>200</v>
      </c>
      <c r="J198" s="55" t="s">
        <v>72</v>
      </c>
      <c r="K198" s="54" t="s">
        <v>89</v>
      </c>
      <c r="L198" s="56">
        <f>37123+(6*364)</f>
        <v>39307</v>
      </c>
      <c r="M198" s="43">
        <f t="shared" ca="1" si="3"/>
        <v>18</v>
      </c>
    </row>
    <row r="199" spans="1:13" x14ac:dyDescent="0.3">
      <c r="A199" s="49" t="s">
        <v>275</v>
      </c>
      <c r="B199" s="49" t="s">
        <v>89</v>
      </c>
      <c r="C199" s="50">
        <v>69807</v>
      </c>
      <c r="D199" s="51">
        <v>124509</v>
      </c>
      <c r="E199" s="52">
        <v>9707405629</v>
      </c>
      <c r="F199" s="43" t="s">
        <v>98</v>
      </c>
      <c r="G199" s="53">
        <v>65251</v>
      </c>
      <c r="H199" s="54" t="s">
        <v>70</v>
      </c>
      <c r="I199" s="54" t="s">
        <v>429</v>
      </c>
      <c r="J199" s="55" t="s">
        <v>78</v>
      </c>
      <c r="K199" s="54" t="s">
        <v>93</v>
      </c>
      <c r="L199" s="56">
        <f>41823+(6*364)</f>
        <v>44007</v>
      </c>
      <c r="M199" s="43">
        <f t="shared" ca="1" si="3"/>
        <v>5</v>
      </c>
    </row>
    <row r="200" spans="1:13" x14ac:dyDescent="0.3">
      <c r="A200" s="49" t="s">
        <v>279</v>
      </c>
      <c r="B200" s="49" t="s">
        <v>89</v>
      </c>
      <c r="C200" s="50">
        <v>69195</v>
      </c>
      <c r="D200" s="51">
        <v>76923</v>
      </c>
      <c r="E200" s="52">
        <v>3037553017</v>
      </c>
      <c r="F200" s="43" t="s">
        <v>91</v>
      </c>
      <c r="G200" s="53">
        <v>53047</v>
      </c>
      <c r="H200" s="54" t="s">
        <v>70</v>
      </c>
      <c r="I200" s="54" t="s">
        <v>430</v>
      </c>
      <c r="J200" s="55" t="s">
        <v>78</v>
      </c>
      <c r="K200" s="54" t="s">
        <v>95</v>
      </c>
      <c r="L200" s="56">
        <f>42050+(6*364)</f>
        <v>44234</v>
      </c>
      <c r="M200" s="43">
        <f t="shared" ca="1" si="3"/>
        <v>4</v>
      </c>
    </row>
    <row r="201" spans="1:13" x14ac:dyDescent="0.3">
      <c r="A201" s="49" t="s">
        <v>282</v>
      </c>
      <c r="B201" s="49" t="s">
        <v>89</v>
      </c>
      <c r="C201" s="50">
        <v>49486</v>
      </c>
      <c r="D201" s="51">
        <v>34966</v>
      </c>
      <c r="E201" s="52">
        <v>3036098293</v>
      </c>
      <c r="F201" s="43"/>
      <c r="G201" s="53">
        <v>55704</v>
      </c>
      <c r="H201" s="54" t="s">
        <v>86</v>
      </c>
      <c r="I201" s="54" t="s">
        <v>431</v>
      </c>
      <c r="J201" s="55" t="s">
        <v>153</v>
      </c>
      <c r="K201" s="54" t="s">
        <v>79</v>
      </c>
      <c r="L201" s="56">
        <f>36083+(6*364)</f>
        <v>38267</v>
      </c>
      <c r="M201" s="43">
        <f t="shared" ca="1" si="3"/>
        <v>21</v>
      </c>
    </row>
    <row r="202" spans="1:13" x14ac:dyDescent="0.3">
      <c r="A202" s="49" t="s">
        <v>284</v>
      </c>
      <c r="B202" s="49" t="s">
        <v>89</v>
      </c>
      <c r="C202" s="50">
        <v>47050</v>
      </c>
      <c r="D202" s="51">
        <v>124044</v>
      </c>
      <c r="E202" s="52">
        <v>9701230519</v>
      </c>
      <c r="F202" s="43" t="s">
        <v>69</v>
      </c>
      <c r="G202" s="53">
        <v>128930</v>
      </c>
      <c r="H202" s="54" t="s">
        <v>70</v>
      </c>
      <c r="I202" s="54" t="s">
        <v>432</v>
      </c>
      <c r="J202" s="55" t="s">
        <v>153</v>
      </c>
      <c r="K202" s="54" t="s">
        <v>89</v>
      </c>
      <c r="L202" s="56">
        <f>40301+(6*364)</f>
        <v>42485</v>
      </c>
      <c r="M202" s="43">
        <f t="shared" ca="1" si="3"/>
        <v>9</v>
      </c>
    </row>
    <row r="203" spans="1:13" x14ac:dyDescent="0.3">
      <c r="A203" s="49" t="s">
        <v>288</v>
      </c>
      <c r="B203" s="49" t="s">
        <v>89</v>
      </c>
      <c r="C203" s="50">
        <v>80581</v>
      </c>
      <c r="D203" s="51">
        <v>54700</v>
      </c>
      <c r="E203" s="52">
        <v>9701999230</v>
      </c>
      <c r="F203" s="43" t="s">
        <v>91</v>
      </c>
      <c r="G203" s="53">
        <v>88425</v>
      </c>
      <c r="H203" s="54" t="s">
        <v>86</v>
      </c>
      <c r="I203" s="54" t="s">
        <v>433</v>
      </c>
      <c r="J203" s="55" t="s">
        <v>78</v>
      </c>
      <c r="K203" s="54" t="s">
        <v>84</v>
      </c>
      <c r="L203" s="56">
        <f>38045+(6*364)</f>
        <v>40229</v>
      </c>
      <c r="M203" s="43">
        <f t="shared" ca="1" si="3"/>
        <v>15</v>
      </c>
    </row>
    <row r="204" spans="1:13" x14ac:dyDescent="0.3">
      <c r="A204" s="49" t="s">
        <v>302</v>
      </c>
      <c r="B204" s="49" t="s">
        <v>89</v>
      </c>
      <c r="C204" s="50">
        <v>91086</v>
      </c>
      <c r="D204" s="51">
        <v>98401</v>
      </c>
      <c r="E204" s="52">
        <v>5054734960</v>
      </c>
      <c r="F204" s="43"/>
      <c r="G204" s="53">
        <v>118490</v>
      </c>
      <c r="H204" s="54" t="s">
        <v>108</v>
      </c>
      <c r="I204" s="54" t="s">
        <v>434</v>
      </c>
      <c r="J204" s="55" t="s">
        <v>72</v>
      </c>
      <c r="K204" s="54" t="s">
        <v>172</v>
      </c>
      <c r="L204" s="56">
        <f>35193+(6*364)</f>
        <v>37377</v>
      </c>
      <c r="M204" s="43">
        <f t="shared" ca="1" si="3"/>
        <v>23</v>
      </c>
    </row>
    <row r="205" spans="1:13" x14ac:dyDescent="0.3">
      <c r="A205" s="49" t="s">
        <v>309</v>
      </c>
      <c r="B205" s="49" t="s">
        <v>89</v>
      </c>
      <c r="C205" s="50">
        <v>58177</v>
      </c>
      <c r="D205" s="51">
        <v>104193</v>
      </c>
      <c r="E205" s="52">
        <v>7198687353</v>
      </c>
      <c r="F205" s="43"/>
      <c r="G205" s="53">
        <v>41691</v>
      </c>
      <c r="H205" s="54" t="s">
        <v>86</v>
      </c>
      <c r="I205" s="54" t="s">
        <v>435</v>
      </c>
      <c r="J205" s="55" t="s">
        <v>72</v>
      </c>
      <c r="K205" s="54" t="s">
        <v>84</v>
      </c>
      <c r="L205" s="56">
        <f>35229+(6*364)</f>
        <v>37413</v>
      </c>
      <c r="M205" s="43">
        <f t="shared" ca="1" si="3"/>
        <v>23</v>
      </c>
    </row>
    <row r="206" spans="1:13" x14ac:dyDescent="0.3">
      <c r="A206" s="49" t="s">
        <v>335</v>
      </c>
      <c r="B206" s="49" t="s">
        <v>89</v>
      </c>
      <c r="C206" s="50">
        <v>41994</v>
      </c>
      <c r="D206" s="51">
        <v>63285</v>
      </c>
      <c r="E206" s="52">
        <v>7198979762</v>
      </c>
      <c r="F206" s="43"/>
      <c r="G206" s="53">
        <v>119665</v>
      </c>
      <c r="H206" s="54" t="s">
        <v>108</v>
      </c>
      <c r="I206" s="54" t="s">
        <v>202</v>
      </c>
      <c r="J206" s="55" t="s">
        <v>88</v>
      </c>
      <c r="K206" s="54" t="s">
        <v>79</v>
      </c>
      <c r="L206" s="56">
        <f>39023+(6*364)</f>
        <v>41207</v>
      </c>
      <c r="M206" s="43">
        <f t="shared" ca="1" si="3"/>
        <v>13</v>
      </c>
    </row>
    <row r="207" spans="1:13" x14ac:dyDescent="0.3">
      <c r="A207" s="49" t="s">
        <v>339</v>
      </c>
      <c r="B207" s="49" t="s">
        <v>89</v>
      </c>
      <c r="C207" s="50">
        <v>36572</v>
      </c>
      <c r="D207" s="51">
        <v>112957</v>
      </c>
      <c r="E207" s="52">
        <v>7196565171</v>
      </c>
      <c r="F207" s="43"/>
      <c r="G207" s="53">
        <v>90409</v>
      </c>
      <c r="H207" s="54" t="s">
        <v>86</v>
      </c>
      <c r="I207" s="54" t="s">
        <v>436</v>
      </c>
      <c r="J207" s="55" t="s">
        <v>88</v>
      </c>
      <c r="K207" s="54" t="s">
        <v>172</v>
      </c>
      <c r="L207" s="56">
        <f>38120+(6*364)</f>
        <v>40304</v>
      </c>
      <c r="M207" s="43">
        <f t="shared" ca="1" si="3"/>
        <v>15</v>
      </c>
    </row>
    <row r="208" spans="1:13" x14ac:dyDescent="0.3">
      <c r="A208" s="49" t="s">
        <v>344</v>
      </c>
      <c r="B208" s="49" t="s">
        <v>89</v>
      </c>
      <c r="C208" s="50">
        <v>53697</v>
      </c>
      <c r="D208" s="51">
        <v>132149</v>
      </c>
      <c r="E208" s="52">
        <v>5057430732</v>
      </c>
      <c r="F208" s="43"/>
      <c r="G208" s="53">
        <v>78222</v>
      </c>
      <c r="H208" s="54" t="s">
        <v>86</v>
      </c>
      <c r="I208" s="54" t="s">
        <v>437</v>
      </c>
      <c r="J208" s="55" t="s">
        <v>88</v>
      </c>
      <c r="K208" s="54" t="s">
        <v>89</v>
      </c>
      <c r="L208" s="56">
        <f>35917+(6*364)</f>
        <v>38101</v>
      </c>
      <c r="M208" s="43">
        <f t="shared" ca="1" si="3"/>
        <v>21</v>
      </c>
    </row>
    <row r="209" spans="1:13" x14ac:dyDescent="0.3">
      <c r="A209" s="49" t="s">
        <v>368</v>
      </c>
      <c r="B209" s="49" t="s">
        <v>89</v>
      </c>
      <c r="C209" s="50">
        <v>54049</v>
      </c>
      <c r="D209" s="51">
        <v>54940</v>
      </c>
      <c r="E209" s="52">
        <v>9704442142</v>
      </c>
      <c r="F209" s="43" t="s">
        <v>81</v>
      </c>
      <c r="G209" s="53">
        <v>58962</v>
      </c>
      <c r="H209" s="54" t="s">
        <v>70</v>
      </c>
      <c r="I209" s="54" t="s">
        <v>205</v>
      </c>
      <c r="J209" s="55" t="s">
        <v>72</v>
      </c>
      <c r="K209" s="54" t="s">
        <v>89</v>
      </c>
      <c r="L209" s="56">
        <f>38653+(6*364)</f>
        <v>40837</v>
      </c>
      <c r="M209" s="43">
        <f t="shared" ca="1" si="3"/>
        <v>14</v>
      </c>
    </row>
    <row r="210" spans="1:13" x14ac:dyDescent="0.3">
      <c r="A210" s="49" t="s">
        <v>374</v>
      </c>
      <c r="B210" s="49" t="s">
        <v>89</v>
      </c>
      <c r="C210" s="50">
        <v>87969</v>
      </c>
      <c r="D210" s="51">
        <v>71041</v>
      </c>
      <c r="E210" s="52">
        <v>9706466230</v>
      </c>
      <c r="F210" s="43"/>
      <c r="G210" s="53">
        <v>53833</v>
      </c>
      <c r="H210" s="54" t="s">
        <v>86</v>
      </c>
      <c r="I210" s="54" t="s">
        <v>438</v>
      </c>
      <c r="J210" s="55" t="s">
        <v>100</v>
      </c>
      <c r="K210" s="54" t="s">
        <v>79</v>
      </c>
      <c r="L210" s="56">
        <f>40550+(6*364)</f>
        <v>42734</v>
      </c>
      <c r="M210" s="43">
        <f t="shared" ca="1" si="3"/>
        <v>8</v>
      </c>
    </row>
    <row r="211" spans="1:13" x14ac:dyDescent="0.3">
      <c r="A211" s="49" t="s">
        <v>379</v>
      </c>
      <c r="B211" s="49" t="s">
        <v>89</v>
      </c>
      <c r="C211" s="50">
        <v>25377</v>
      </c>
      <c r="D211" s="51">
        <v>73975</v>
      </c>
      <c r="E211" s="52">
        <v>3037312659</v>
      </c>
      <c r="F211" s="43" t="s">
        <v>98</v>
      </c>
      <c r="G211" s="53">
        <v>63526</v>
      </c>
      <c r="H211" s="54" t="s">
        <v>70</v>
      </c>
      <c r="I211" s="54" t="s">
        <v>439</v>
      </c>
      <c r="J211" s="55" t="s">
        <v>72</v>
      </c>
      <c r="K211" s="54" t="s">
        <v>106</v>
      </c>
      <c r="L211" s="56">
        <f>38526+(6*364)</f>
        <v>40710</v>
      </c>
      <c r="M211" s="43">
        <f t="shared" ca="1" si="3"/>
        <v>14</v>
      </c>
    </row>
    <row r="212" spans="1:13" x14ac:dyDescent="0.3">
      <c r="A212" s="49" t="s">
        <v>381</v>
      </c>
      <c r="B212" s="49" t="s">
        <v>89</v>
      </c>
      <c r="C212" s="50">
        <v>53998</v>
      </c>
      <c r="D212" s="51">
        <v>113507</v>
      </c>
      <c r="E212" s="52">
        <v>3032526124</v>
      </c>
      <c r="F212" s="43" t="s">
        <v>91</v>
      </c>
      <c r="G212" s="53">
        <v>77265</v>
      </c>
      <c r="H212" s="54" t="s">
        <v>70</v>
      </c>
      <c r="I212" s="54" t="s">
        <v>440</v>
      </c>
      <c r="J212" s="55" t="s">
        <v>88</v>
      </c>
      <c r="K212" s="54" t="s">
        <v>146</v>
      </c>
      <c r="L212" s="56">
        <f>38008+(6*364)</f>
        <v>40192</v>
      </c>
      <c r="M212" s="43">
        <f t="shared" ca="1" si="3"/>
        <v>15</v>
      </c>
    </row>
    <row r="213" spans="1:13" x14ac:dyDescent="0.3">
      <c r="A213" s="49" t="s">
        <v>385</v>
      </c>
      <c r="B213" s="49" t="s">
        <v>89</v>
      </c>
      <c r="C213" s="50">
        <v>61167</v>
      </c>
      <c r="D213" s="51">
        <v>64128</v>
      </c>
      <c r="E213" s="52">
        <v>7195981242</v>
      </c>
      <c r="F213" s="43" t="s">
        <v>98</v>
      </c>
      <c r="G213" s="53">
        <v>109715</v>
      </c>
      <c r="H213" s="54" t="s">
        <v>70</v>
      </c>
      <c r="I213" s="54" t="s">
        <v>441</v>
      </c>
      <c r="J213" s="55" t="s">
        <v>88</v>
      </c>
      <c r="K213" s="54" t="s">
        <v>146</v>
      </c>
      <c r="L213" s="56">
        <f>38822+(6*364)</f>
        <v>41006</v>
      </c>
      <c r="M213" s="43">
        <f t="shared" ca="1" si="3"/>
        <v>13</v>
      </c>
    </row>
    <row r="214" spans="1:13" x14ac:dyDescent="0.3">
      <c r="A214" s="49" t="s">
        <v>401</v>
      </c>
      <c r="B214" s="49" t="s">
        <v>89</v>
      </c>
      <c r="C214" s="50">
        <v>93433</v>
      </c>
      <c r="D214" s="51">
        <v>74499</v>
      </c>
      <c r="E214" s="52">
        <v>7191257896</v>
      </c>
      <c r="F214" s="43" t="s">
        <v>75</v>
      </c>
      <c r="G214" s="53">
        <v>57172</v>
      </c>
      <c r="H214" s="54" t="s">
        <v>70</v>
      </c>
      <c r="I214" s="54" t="s">
        <v>101</v>
      </c>
      <c r="J214" s="55" t="s">
        <v>83</v>
      </c>
      <c r="K214" s="54" t="s">
        <v>93</v>
      </c>
      <c r="L214" s="56">
        <f>40714+(6*364)</f>
        <v>42898</v>
      </c>
      <c r="M214" s="43">
        <f t="shared" ca="1" si="3"/>
        <v>8</v>
      </c>
    </row>
    <row r="215" spans="1:13" x14ac:dyDescent="0.3">
      <c r="A215" s="49" t="s">
        <v>410</v>
      </c>
      <c r="B215" s="49" t="s">
        <v>89</v>
      </c>
      <c r="C215" s="50">
        <v>22804</v>
      </c>
      <c r="D215" s="51">
        <v>83659</v>
      </c>
      <c r="E215" s="52">
        <v>5053302808</v>
      </c>
      <c r="F215" s="43"/>
      <c r="G215" s="53">
        <v>72564</v>
      </c>
      <c r="H215" s="54" t="s">
        <v>108</v>
      </c>
      <c r="I215" s="54" t="s">
        <v>315</v>
      </c>
      <c r="J215" s="55" t="s">
        <v>72</v>
      </c>
      <c r="K215" s="54" t="s">
        <v>73</v>
      </c>
      <c r="L215" s="56">
        <f>36836+(6*364)</f>
        <v>39020</v>
      </c>
      <c r="M215" s="43">
        <f t="shared" ca="1" si="3"/>
        <v>19</v>
      </c>
    </row>
    <row r="216" spans="1:13" x14ac:dyDescent="0.3">
      <c r="A216" s="49" t="s">
        <v>414</v>
      </c>
      <c r="B216" s="49" t="s">
        <v>89</v>
      </c>
      <c r="C216" s="50">
        <v>91424</v>
      </c>
      <c r="D216" s="51">
        <v>72803</v>
      </c>
      <c r="E216" s="52">
        <v>7193919445</v>
      </c>
      <c r="F216" s="43" t="s">
        <v>98</v>
      </c>
      <c r="G216" s="53">
        <v>95700</v>
      </c>
      <c r="H216" s="54" t="s">
        <v>108</v>
      </c>
      <c r="I216" s="54" t="s">
        <v>408</v>
      </c>
      <c r="J216" s="55" t="s">
        <v>83</v>
      </c>
      <c r="K216" s="54" t="s">
        <v>93</v>
      </c>
      <c r="L216" s="56">
        <f>41141+(6*364)</f>
        <v>43325</v>
      </c>
      <c r="M216" s="43">
        <f t="shared" ca="1" si="3"/>
        <v>7</v>
      </c>
    </row>
    <row r="217" spans="1:13" x14ac:dyDescent="0.3">
      <c r="A217" s="49" t="s">
        <v>419</v>
      </c>
      <c r="B217" s="49" t="s">
        <v>89</v>
      </c>
      <c r="C217" s="50">
        <v>34034</v>
      </c>
      <c r="D217" s="51">
        <v>63344</v>
      </c>
      <c r="E217" s="52">
        <v>5053355100</v>
      </c>
      <c r="F217" s="43"/>
      <c r="G217" s="53">
        <v>72730</v>
      </c>
      <c r="H217" s="54" t="s">
        <v>86</v>
      </c>
      <c r="I217" s="54" t="s">
        <v>207</v>
      </c>
      <c r="J217" s="55" t="s">
        <v>153</v>
      </c>
      <c r="K217" s="54" t="s">
        <v>95</v>
      </c>
      <c r="L217" s="56">
        <f>37666+(6*364)</f>
        <v>39850</v>
      </c>
      <c r="M217" s="43">
        <f t="shared" ca="1" si="3"/>
        <v>16</v>
      </c>
    </row>
    <row r="218" spans="1:13" x14ac:dyDescent="0.3">
      <c r="A218" s="49" t="s">
        <v>444</v>
      </c>
      <c r="B218" s="49" t="s">
        <v>89</v>
      </c>
      <c r="C218" s="50">
        <v>67840</v>
      </c>
      <c r="D218" s="51">
        <v>92943</v>
      </c>
      <c r="E218" s="52">
        <v>7196705508</v>
      </c>
      <c r="F218" s="43"/>
      <c r="G218" s="53">
        <v>46231</v>
      </c>
      <c r="H218" s="54" t="s">
        <v>86</v>
      </c>
      <c r="I218" s="54" t="s">
        <v>363</v>
      </c>
      <c r="J218" s="55" t="s">
        <v>72</v>
      </c>
      <c r="K218" s="54" t="s">
        <v>106</v>
      </c>
      <c r="L218" s="56">
        <f>42520+(6*364)</f>
        <v>44704</v>
      </c>
      <c r="M218" s="43">
        <f t="shared" ca="1" si="3"/>
        <v>3</v>
      </c>
    </row>
    <row r="219" spans="1:13" x14ac:dyDescent="0.3">
      <c r="A219" s="49" t="s">
        <v>428</v>
      </c>
      <c r="B219" s="49" t="s">
        <v>89</v>
      </c>
      <c r="C219" s="50">
        <v>70654</v>
      </c>
      <c r="D219" s="51">
        <v>102680</v>
      </c>
      <c r="E219" s="52">
        <v>9701664940</v>
      </c>
      <c r="F219" s="43" t="s">
        <v>81</v>
      </c>
      <c r="G219" s="53">
        <v>85107</v>
      </c>
      <c r="H219" s="54" t="s">
        <v>70</v>
      </c>
      <c r="I219" s="54" t="s">
        <v>409</v>
      </c>
      <c r="J219" s="55" t="s">
        <v>72</v>
      </c>
      <c r="K219" s="54" t="s">
        <v>106</v>
      </c>
      <c r="L219" s="56">
        <f>36472+(6*364)</f>
        <v>38656</v>
      </c>
      <c r="M219" s="43">
        <f t="shared" ca="1" si="3"/>
        <v>20</v>
      </c>
    </row>
    <row r="220" spans="1:13" x14ac:dyDescent="0.3">
      <c r="A220" s="49" t="s">
        <v>430</v>
      </c>
      <c r="B220" s="49" t="s">
        <v>89</v>
      </c>
      <c r="C220" s="50">
        <v>69385</v>
      </c>
      <c r="D220" s="51">
        <v>67956</v>
      </c>
      <c r="E220" s="52">
        <v>7191264013</v>
      </c>
      <c r="F220" s="43" t="s">
        <v>75</v>
      </c>
      <c r="G220" s="53">
        <v>56100</v>
      </c>
      <c r="H220" s="54" t="s">
        <v>70</v>
      </c>
      <c r="I220" s="54" t="s">
        <v>442</v>
      </c>
      <c r="J220" s="55" t="s">
        <v>78</v>
      </c>
      <c r="K220" s="54" t="s">
        <v>103</v>
      </c>
      <c r="L220" s="56">
        <f>37263+(6*364)</f>
        <v>39447</v>
      </c>
      <c r="M220" s="43">
        <f t="shared" ca="1" si="3"/>
        <v>17</v>
      </c>
    </row>
    <row r="221" spans="1:13" x14ac:dyDescent="0.3">
      <c r="A221" s="49" t="s">
        <v>431</v>
      </c>
      <c r="B221" s="49" t="s">
        <v>89</v>
      </c>
      <c r="C221" s="50">
        <v>13622</v>
      </c>
      <c r="D221" s="51">
        <v>50710</v>
      </c>
      <c r="E221" s="52">
        <v>5055512521</v>
      </c>
      <c r="F221" s="43"/>
      <c r="G221" s="53">
        <v>121624</v>
      </c>
      <c r="H221" s="54" t="s">
        <v>108</v>
      </c>
      <c r="I221" s="54" t="s">
        <v>285</v>
      </c>
      <c r="J221" s="55" t="s">
        <v>83</v>
      </c>
      <c r="K221" s="54" t="s">
        <v>79</v>
      </c>
      <c r="L221" s="56">
        <f>42258+(6*364)</f>
        <v>44442</v>
      </c>
      <c r="M221" s="43">
        <f t="shared" ca="1" si="3"/>
        <v>4</v>
      </c>
    </row>
    <row r="222" spans="1:13" x14ac:dyDescent="0.3">
      <c r="A222" s="49" t="s">
        <v>432</v>
      </c>
      <c r="B222" s="49" t="s">
        <v>89</v>
      </c>
      <c r="C222" s="50">
        <v>73363</v>
      </c>
      <c r="D222" s="51">
        <v>113062</v>
      </c>
      <c r="E222" s="52">
        <v>5055402828</v>
      </c>
      <c r="F222" s="43"/>
      <c r="G222" s="53">
        <v>76911</v>
      </c>
      <c r="H222" s="54" t="s">
        <v>108</v>
      </c>
      <c r="I222" s="54" t="s">
        <v>443</v>
      </c>
      <c r="J222" s="55" t="s">
        <v>88</v>
      </c>
      <c r="K222" s="54" t="s">
        <v>79</v>
      </c>
      <c r="L222" s="56">
        <f>42561+(6*364)</f>
        <v>44745</v>
      </c>
      <c r="M222" s="43">
        <f t="shared" ca="1" si="3"/>
        <v>3</v>
      </c>
    </row>
    <row r="223" spans="1:13" x14ac:dyDescent="0.3">
      <c r="A223" s="49" t="s">
        <v>435</v>
      </c>
      <c r="B223" s="49" t="s">
        <v>89</v>
      </c>
      <c r="C223" s="50">
        <v>56891</v>
      </c>
      <c r="D223" s="51">
        <v>122646</v>
      </c>
      <c r="E223" s="52">
        <v>7194944596</v>
      </c>
      <c r="F223" s="43" t="s">
        <v>75</v>
      </c>
      <c r="G223" s="53">
        <v>112084</v>
      </c>
      <c r="H223" s="54" t="s">
        <v>70</v>
      </c>
      <c r="I223" s="54" t="s">
        <v>445</v>
      </c>
      <c r="J223" s="55" t="s">
        <v>78</v>
      </c>
      <c r="K223" s="54" t="s">
        <v>342</v>
      </c>
      <c r="L223" s="56">
        <f>38493+(6*364)</f>
        <v>40677</v>
      </c>
      <c r="M223" s="43">
        <f t="shared" ca="1" si="3"/>
        <v>14</v>
      </c>
    </row>
    <row r="224" spans="1:13" x14ac:dyDescent="0.3">
      <c r="A224" s="49" t="s">
        <v>436</v>
      </c>
      <c r="B224" s="49" t="s">
        <v>89</v>
      </c>
      <c r="C224" s="50">
        <v>23806</v>
      </c>
      <c r="D224" s="51">
        <v>72361</v>
      </c>
      <c r="E224" s="52">
        <v>9701277028</v>
      </c>
      <c r="F224" s="43" t="s">
        <v>91</v>
      </c>
      <c r="G224" s="53">
        <v>44459</v>
      </c>
      <c r="H224" s="54" t="s">
        <v>70</v>
      </c>
      <c r="I224" s="54" t="s">
        <v>446</v>
      </c>
      <c r="J224" s="55" t="s">
        <v>78</v>
      </c>
      <c r="K224" s="54" t="s">
        <v>342</v>
      </c>
      <c r="L224" s="56">
        <f>42324+(6*364)</f>
        <v>44508</v>
      </c>
      <c r="M224" s="43">
        <f t="shared" ca="1" si="3"/>
        <v>4</v>
      </c>
    </row>
    <row r="225" spans="1:13" x14ac:dyDescent="0.3">
      <c r="A225" s="49" t="s">
        <v>439</v>
      </c>
      <c r="B225" s="49" t="s">
        <v>89</v>
      </c>
      <c r="C225" s="50">
        <v>45578</v>
      </c>
      <c r="D225" s="51">
        <v>71987</v>
      </c>
      <c r="E225" s="52">
        <v>3034679864</v>
      </c>
      <c r="F225" s="43" t="s">
        <v>91</v>
      </c>
      <c r="G225" s="53">
        <v>100084</v>
      </c>
      <c r="H225" s="54" t="s">
        <v>70</v>
      </c>
      <c r="I225" s="54" t="s">
        <v>447</v>
      </c>
      <c r="J225" s="55" t="s">
        <v>88</v>
      </c>
      <c r="K225" s="54" t="s">
        <v>172</v>
      </c>
      <c r="L225" s="56">
        <f>37936+(6*364)</f>
        <v>40120</v>
      </c>
      <c r="M225" s="43">
        <f t="shared" ca="1" si="3"/>
        <v>16</v>
      </c>
    </row>
    <row r="226" spans="1:13" x14ac:dyDescent="0.3">
      <c r="A226" s="49" t="s">
        <v>440</v>
      </c>
      <c r="B226" s="49" t="s">
        <v>89</v>
      </c>
      <c r="C226" s="50">
        <v>37845</v>
      </c>
      <c r="D226" s="51">
        <v>94341</v>
      </c>
      <c r="E226" s="52">
        <v>5056576057</v>
      </c>
      <c r="F226" s="43" t="s">
        <v>81</v>
      </c>
      <c r="G226" s="53">
        <v>118872</v>
      </c>
      <c r="H226" s="54" t="s">
        <v>70</v>
      </c>
      <c r="I226" s="54" t="s">
        <v>448</v>
      </c>
      <c r="J226" s="55" t="s">
        <v>72</v>
      </c>
      <c r="K226" s="54" t="s">
        <v>103</v>
      </c>
      <c r="L226" s="56">
        <f>37303+(6*364)</f>
        <v>39487</v>
      </c>
      <c r="M226" s="43">
        <f t="shared" ca="1" si="3"/>
        <v>17</v>
      </c>
    </row>
    <row r="227" spans="1:13" x14ac:dyDescent="0.3">
      <c r="A227" s="49" t="s">
        <v>442</v>
      </c>
      <c r="B227" s="49" t="s">
        <v>89</v>
      </c>
      <c r="C227" s="50">
        <v>52072</v>
      </c>
      <c r="D227" s="51">
        <v>95607</v>
      </c>
      <c r="E227" s="52">
        <v>5052952173</v>
      </c>
      <c r="F227" s="43" t="s">
        <v>98</v>
      </c>
      <c r="G227" s="53">
        <v>98811</v>
      </c>
      <c r="H227" s="54" t="s">
        <v>70</v>
      </c>
      <c r="I227" s="54" t="s">
        <v>449</v>
      </c>
      <c r="J227" s="55" t="s">
        <v>72</v>
      </c>
      <c r="K227" s="54" t="s">
        <v>103</v>
      </c>
      <c r="L227" s="56">
        <f>35852+(6*364)</f>
        <v>38036</v>
      </c>
      <c r="M227" s="43">
        <f t="shared" ca="1" si="3"/>
        <v>21</v>
      </c>
    </row>
    <row r="228" spans="1:13" x14ac:dyDescent="0.3">
      <c r="A228" s="49" t="s">
        <v>445</v>
      </c>
      <c r="B228" s="49" t="s">
        <v>89</v>
      </c>
      <c r="C228" s="50">
        <v>71787</v>
      </c>
      <c r="D228" s="51">
        <v>94079</v>
      </c>
      <c r="E228" s="52">
        <v>5057838614</v>
      </c>
      <c r="F228" s="43"/>
      <c r="G228" s="53">
        <v>57434</v>
      </c>
      <c r="H228" s="54" t="s">
        <v>86</v>
      </c>
      <c r="I228" s="54" t="s">
        <v>450</v>
      </c>
      <c r="J228" s="55" t="s">
        <v>153</v>
      </c>
      <c r="K228" s="54" t="s">
        <v>172</v>
      </c>
      <c r="L228" s="56">
        <f>40277+(6*364)</f>
        <v>42461</v>
      </c>
      <c r="M228" s="43">
        <f t="shared" ca="1" si="3"/>
        <v>9</v>
      </c>
    </row>
    <row r="229" spans="1:13" x14ac:dyDescent="0.3">
      <c r="A229" s="49" t="s">
        <v>448</v>
      </c>
      <c r="B229" s="49" t="s">
        <v>89</v>
      </c>
      <c r="C229" s="50">
        <v>35766</v>
      </c>
      <c r="D229" s="51">
        <v>103291</v>
      </c>
      <c r="E229" s="52">
        <v>7194125146</v>
      </c>
      <c r="F229" s="43" t="s">
        <v>81</v>
      </c>
      <c r="G229" s="53">
        <v>92137</v>
      </c>
      <c r="H229" s="54" t="s">
        <v>70</v>
      </c>
      <c r="I229" s="54" t="s">
        <v>451</v>
      </c>
      <c r="J229" s="55" t="s">
        <v>78</v>
      </c>
      <c r="K229" s="54" t="s">
        <v>89</v>
      </c>
      <c r="L229" s="56">
        <f>41011+(6*364)</f>
        <v>43195</v>
      </c>
      <c r="M229" s="43">
        <f t="shared" ca="1" si="3"/>
        <v>7</v>
      </c>
    </row>
    <row r="230" spans="1:13" x14ac:dyDescent="0.3">
      <c r="A230" s="49" t="s">
        <v>456</v>
      </c>
      <c r="B230" s="49" t="s">
        <v>89</v>
      </c>
      <c r="C230" s="50">
        <v>88297</v>
      </c>
      <c r="D230" s="51">
        <v>108514</v>
      </c>
      <c r="E230" s="52">
        <v>5058359862</v>
      </c>
      <c r="F230" s="43" t="s">
        <v>98</v>
      </c>
      <c r="G230" s="53">
        <v>36653</v>
      </c>
      <c r="H230" s="54" t="s">
        <v>70</v>
      </c>
      <c r="I230" s="54" t="s">
        <v>452</v>
      </c>
      <c r="J230" s="55" t="s">
        <v>100</v>
      </c>
      <c r="K230" s="54" t="s">
        <v>89</v>
      </c>
      <c r="L230" s="56">
        <f>37515+(6*364)</f>
        <v>39699</v>
      </c>
      <c r="M230" s="43">
        <f t="shared" ca="1" si="3"/>
        <v>17</v>
      </c>
    </row>
    <row r="231" spans="1:13" x14ac:dyDescent="0.3">
      <c r="A231" s="49" t="s">
        <v>457</v>
      </c>
      <c r="B231" s="49" t="s">
        <v>89</v>
      </c>
      <c r="C231" s="50">
        <v>46694</v>
      </c>
      <c r="D231" s="51">
        <v>120958</v>
      </c>
      <c r="E231" s="52">
        <v>5056427045</v>
      </c>
      <c r="F231" s="43" t="s">
        <v>69</v>
      </c>
      <c r="G231" s="53">
        <v>116997</v>
      </c>
      <c r="H231" s="54" t="s">
        <v>70</v>
      </c>
      <c r="I231" s="54" t="s">
        <v>453</v>
      </c>
      <c r="J231" s="55" t="s">
        <v>72</v>
      </c>
      <c r="K231" s="54" t="s">
        <v>95</v>
      </c>
      <c r="L231" s="56">
        <f>37388+(6*364)</f>
        <v>39572</v>
      </c>
      <c r="M231" s="43">
        <f t="shared" ca="1" si="3"/>
        <v>17</v>
      </c>
    </row>
    <row r="232" spans="1:13" x14ac:dyDescent="0.3">
      <c r="A232" s="49" t="s">
        <v>459</v>
      </c>
      <c r="B232" s="49" t="s">
        <v>89</v>
      </c>
      <c r="C232" s="50">
        <v>59078</v>
      </c>
      <c r="D232" s="51">
        <v>77685</v>
      </c>
      <c r="E232" s="52">
        <v>7195617115</v>
      </c>
      <c r="F232" s="43" t="s">
        <v>91</v>
      </c>
      <c r="G232" s="53">
        <v>86602</v>
      </c>
      <c r="H232" s="54" t="s">
        <v>70</v>
      </c>
      <c r="I232" s="54" t="s">
        <v>454</v>
      </c>
      <c r="J232" s="55" t="s">
        <v>83</v>
      </c>
      <c r="K232" s="54" t="s">
        <v>172</v>
      </c>
      <c r="L232" s="56">
        <f>38438+(6*364)</f>
        <v>40622</v>
      </c>
      <c r="M232" s="43">
        <f t="shared" ca="1" si="3"/>
        <v>14</v>
      </c>
    </row>
    <row r="233" spans="1:13" x14ac:dyDescent="0.3">
      <c r="A233" s="49" t="s">
        <v>461</v>
      </c>
      <c r="B233" s="49" t="s">
        <v>89</v>
      </c>
      <c r="C233" s="50">
        <v>56142</v>
      </c>
      <c r="D233" s="51">
        <v>65346</v>
      </c>
      <c r="E233" s="52">
        <v>7194402150</v>
      </c>
      <c r="F233" s="43"/>
      <c r="G233" s="53">
        <v>28795</v>
      </c>
      <c r="H233" s="54" t="s">
        <v>86</v>
      </c>
      <c r="I233" s="54" t="s">
        <v>455</v>
      </c>
      <c r="J233" s="55" t="s">
        <v>88</v>
      </c>
      <c r="K233" s="54" t="s">
        <v>93</v>
      </c>
      <c r="L233" s="56">
        <f>35985+(6*364)</f>
        <v>38169</v>
      </c>
      <c r="M233" s="43">
        <f t="shared" ca="1" si="3"/>
        <v>21</v>
      </c>
    </row>
    <row r="234" spans="1:13" x14ac:dyDescent="0.3">
      <c r="A234" s="49" t="s">
        <v>462</v>
      </c>
      <c r="B234" s="49" t="s">
        <v>89</v>
      </c>
      <c r="C234" s="50">
        <v>89809</v>
      </c>
      <c r="D234" s="51">
        <v>79062</v>
      </c>
      <c r="E234" s="52">
        <v>9701919147</v>
      </c>
      <c r="F234" s="43" t="s">
        <v>69</v>
      </c>
      <c r="G234" s="53">
        <v>72206</v>
      </c>
      <c r="H234" s="54" t="s">
        <v>70</v>
      </c>
      <c r="I234" s="54" t="s">
        <v>456</v>
      </c>
      <c r="J234" s="55" t="s">
        <v>83</v>
      </c>
      <c r="K234" s="54" t="s">
        <v>19</v>
      </c>
      <c r="L234" s="56">
        <f>41371+(6*364)</f>
        <v>43555</v>
      </c>
      <c r="M234" s="43">
        <f t="shared" ca="1" si="3"/>
        <v>6</v>
      </c>
    </row>
    <row r="235" spans="1:13" x14ac:dyDescent="0.3">
      <c r="A235" s="49" t="s">
        <v>463</v>
      </c>
      <c r="B235" s="49" t="s">
        <v>89</v>
      </c>
      <c r="C235" s="50">
        <v>51521</v>
      </c>
      <c r="D235" s="51">
        <v>118542</v>
      </c>
      <c r="E235" s="52">
        <v>7193431009</v>
      </c>
      <c r="F235" s="43" t="s">
        <v>98</v>
      </c>
      <c r="G235" s="53">
        <v>52117</v>
      </c>
      <c r="H235" s="54" t="s">
        <v>70</v>
      </c>
      <c r="I235" s="54" t="s">
        <v>209</v>
      </c>
      <c r="J235" s="55" t="s">
        <v>72</v>
      </c>
      <c r="K235" s="54" t="s">
        <v>172</v>
      </c>
      <c r="L235" s="56">
        <f>36724+(6*364)</f>
        <v>38908</v>
      </c>
      <c r="M235" s="43">
        <f t="shared" ca="1" si="3"/>
        <v>19</v>
      </c>
    </row>
    <row r="236" spans="1:13" x14ac:dyDescent="0.3">
      <c r="A236" s="49" t="s">
        <v>465</v>
      </c>
      <c r="B236" s="49" t="s">
        <v>89</v>
      </c>
      <c r="C236" s="50">
        <v>17548</v>
      </c>
      <c r="D236" s="51">
        <v>137214</v>
      </c>
      <c r="E236" s="52">
        <v>3033014821</v>
      </c>
      <c r="F236" s="43" t="s">
        <v>91</v>
      </c>
      <c r="G236" s="53">
        <v>69116</v>
      </c>
      <c r="H236" s="54" t="s">
        <v>76</v>
      </c>
      <c r="I236" s="54" t="s">
        <v>458</v>
      </c>
      <c r="J236" s="55" t="s">
        <v>72</v>
      </c>
      <c r="K236" s="54" t="s">
        <v>89</v>
      </c>
      <c r="L236" s="56">
        <f>38528+(6*364)</f>
        <v>40712</v>
      </c>
      <c r="M236" s="43">
        <f t="shared" ca="1" si="3"/>
        <v>14</v>
      </c>
    </row>
    <row r="237" spans="1:13" x14ac:dyDescent="0.3">
      <c r="A237" s="49" t="s">
        <v>467</v>
      </c>
      <c r="B237" s="49" t="s">
        <v>89</v>
      </c>
      <c r="C237" s="50">
        <v>19951</v>
      </c>
      <c r="D237" s="51">
        <v>87312</v>
      </c>
      <c r="E237" s="52">
        <v>9706069116</v>
      </c>
      <c r="F237" s="43"/>
      <c r="G237" s="53">
        <v>82944</v>
      </c>
      <c r="H237" s="54" t="s">
        <v>86</v>
      </c>
      <c r="I237" s="54" t="s">
        <v>460</v>
      </c>
      <c r="J237" s="55" t="s">
        <v>72</v>
      </c>
      <c r="K237" s="54" t="s">
        <v>93</v>
      </c>
      <c r="L237" s="56">
        <f>35052+(6*364)</f>
        <v>37236</v>
      </c>
      <c r="M237" s="43">
        <f t="shared" ca="1" si="3"/>
        <v>24</v>
      </c>
    </row>
    <row r="238" spans="1:13" x14ac:dyDescent="0.3">
      <c r="A238" s="49" t="s">
        <v>468</v>
      </c>
      <c r="B238" s="49" t="s">
        <v>89</v>
      </c>
      <c r="C238" s="50">
        <v>75293</v>
      </c>
      <c r="D238" s="51">
        <v>110975</v>
      </c>
      <c r="E238" s="52">
        <v>5057819805</v>
      </c>
      <c r="F238" s="43" t="s">
        <v>75</v>
      </c>
      <c r="G238" s="53">
        <v>105220</v>
      </c>
      <c r="H238" s="54" t="s">
        <v>70</v>
      </c>
      <c r="I238" s="54" t="s">
        <v>457</v>
      </c>
      <c r="J238" s="55" t="s">
        <v>153</v>
      </c>
      <c r="K238" s="54" t="s">
        <v>89</v>
      </c>
      <c r="L238" s="56">
        <f>35992+(6*364)</f>
        <v>38176</v>
      </c>
      <c r="M238" s="43">
        <f t="shared" ca="1" si="3"/>
        <v>21</v>
      </c>
    </row>
    <row r="239" spans="1:13" x14ac:dyDescent="0.3">
      <c r="A239" s="49" t="s">
        <v>470</v>
      </c>
      <c r="B239" s="49" t="s">
        <v>89</v>
      </c>
      <c r="C239" s="50">
        <v>21207</v>
      </c>
      <c r="D239" s="51">
        <v>21091</v>
      </c>
      <c r="E239" s="52">
        <v>3035268508</v>
      </c>
      <c r="F239" s="43" t="s">
        <v>98</v>
      </c>
      <c r="G239" s="53">
        <v>76427</v>
      </c>
      <c r="H239" s="54" t="s">
        <v>76</v>
      </c>
      <c r="I239" s="54" t="s">
        <v>459</v>
      </c>
      <c r="J239" s="55" t="s">
        <v>78</v>
      </c>
      <c r="K239" s="54" t="s">
        <v>172</v>
      </c>
      <c r="L239" s="56">
        <f>38284+(6*364)</f>
        <v>40468</v>
      </c>
      <c r="M239" s="43">
        <f t="shared" ca="1" si="3"/>
        <v>15</v>
      </c>
    </row>
    <row r="240" spans="1:13" x14ac:dyDescent="0.3">
      <c r="A240" s="49" t="s">
        <v>471</v>
      </c>
      <c r="B240" s="49" t="s">
        <v>89</v>
      </c>
      <c r="C240" s="50">
        <v>23712</v>
      </c>
      <c r="D240" s="51">
        <v>105953</v>
      </c>
      <c r="E240" s="52">
        <v>9706530760</v>
      </c>
      <c r="F240" s="43"/>
      <c r="G240" s="53">
        <v>108349</v>
      </c>
      <c r="H240" s="54" t="s">
        <v>108</v>
      </c>
      <c r="I240" s="54" t="s">
        <v>464</v>
      </c>
      <c r="J240" s="55" t="s">
        <v>72</v>
      </c>
      <c r="K240" s="54" t="s">
        <v>172</v>
      </c>
      <c r="L240" s="56">
        <f>41644+(6*364)</f>
        <v>43828</v>
      </c>
      <c r="M240" s="43">
        <f t="shared" ca="1" si="3"/>
        <v>5</v>
      </c>
    </row>
    <row r="241" spans="1:13" x14ac:dyDescent="0.3">
      <c r="A241" s="49" t="s">
        <v>473</v>
      </c>
      <c r="B241" s="49" t="s">
        <v>89</v>
      </c>
      <c r="C241" s="50">
        <v>61809</v>
      </c>
      <c r="D241" s="51">
        <v>65322</v>
      </c>
      <c r="E241" s="52">
        <v>5056689962</v>
      </c>
      <c r="F241" s="43" t="s">
        <v>75</v>
      </c>
      <c r="G241" s="53">
        <v>47178</v>
      </c>
      <c r="H241" s="54" t="s">
        <v>76</v>
      </c>
      <c r="I241" s="54" t="s">
        <v>466</v>
      </c>
      <c r="J241" s="55" t="s">
        <v>72</v>
      </c>
      <c r="K241" s="54" t="s">
        <v>106</v>
      </c>
      <c r="L241" s="56">
        <f>36398+(6*364)</f>
        <v>38582</v>
      </c>
      <c r="M241" s="43">
        <f t="shared" ca="1" si="3"/>
        <v>20</v>
      </c>
    </row>
    <row r="242" spans="1:13" x14ac:dyDescent="0.3">
      <c r="A242" s="49" t="s">
        <v>474</v>
      </c>
      <c r="B242" s="49" t="s">
        <v>89</v>
      </c>
      <c r="C242" s="50">
        <v>56695</v>
      </c>
      <c r="D242" s="51">
        <v>112153</v>
      </c>
      <c r="E242" s="52">
        <v>9708367725</v>
      </c>
      <c r="F242" s="43" t="s">
        <v>91</v>
      </c>
      <c r="G242" s="53">
        <v>51286</v>
      </c>
      <c r="H242" s="54" t="s">
        <v>70</v>
      </c>
      <c r="I242" s="54" t="s">
        <v>461</v>
      </c>
      <c r="J242" s="55" t="s">
        <v>100</v>
      </c>
      <c r="K242" s="54" t="s">
        <v>103</v>
      </c>
      <c r="L242" s="56">
        <f>36541+(6*364)</f>
        <v>38725</v>
      </c>
      <c r="M242" s="43">
        <f t="shared" ca="1" si="3"/>
        <v>19</v>
      </c>
    </row>
    <row r="243" spans="1:13" x14ac:dyDescent="0.3">
      <c r="A243" s="49" t="s">
        <v>476</v>
      </c>
      <c r="B243" s="49" t="s">
        <v>89</v>
      </c>
      <c r="C243" s="50">
        <v>12081</v>
      </c>
      <c r="D243" s="51">
        <v>115937</v>
      </c>
      <c r="E243" s="52">
        <v>5055013435</v>
      </c>
      <c r="F243" s="43" t="s">
        <v>91</v>
      </c>
      <c r="G243" s="53">
        <v>108895</v>
      </c>
      <c r="H243" s="54" t="s">
        <v>70</v>
      </c>
      <c r="I243" s="54" t="s">
        <v>469</v>
      </c>
      <c r="J243" s="55" t="s">
        <v>88</v>
      </c>
      <c r="K243" s="54" t="s">
        <v>89</v>
      </c>
      <c r="L243" s="56">
        <f>38101+(6*364)</f>
        <v>40285</v>
      </c>
      <c r="M243" s="43">
        <f t="shared" ca="1" si="3"/>
        <v>15</v>
      </c>
    </row>
    <row r="244" spans="1:13" x14ac:dyDescent="0.3">
      <c r="A244" s="49" t="s">
        <v>478</v>
      </c>
      <c r="B244" s="49" t="s">
        <v>89</v>
      </c>
      <c r="C244" s="50">
        <v>15368</v>
      </c>
      <c r="D244" s="51">
        <v>72176</v>
      </c>
      <c r="E244" s="52">
        <v>3033517837</v>
      </c>
      <c r="F244" s="43"/>
      <c r="G244" s="53">
        <v>75382</v>
      </c>
      <c r="H244" s="54" t="s">
        <v>108</v>
      </c>
      <c r="I244" s="54" t="s">
        <v>462</v>
      </c>
      <c r="J244" s="55" t="s">
        <v>88</v>
      </c>
      <c r="K244" s="54" t="s">
        <v>103</v>
      </c>
      <c r="L244" s="56">
        <f>35805+(6*364)</f>
        <v>37989</v>
      </c>
      <c r="M244" s="43">
        <f t="shared" ca="1" si="3"/>
        <v>21</v>
      </c>
    </row>
    <row r="245" spans="1:13" x14ac:dyDescent="0.3">
      <c r="A245" s="49" t="s">
        <v>480</v>
      </c>
      <c r="B245" s="49" t="s">
        <v>89</v>
      </c>
      <c r="C245" s="50">
        <v>21623</v>
      </c>
      <c r="D245" s="51">
        <v>61930</v>
      </c>
      <c r="E245" s="52">
        <v>9704563177</v>
      </c>
      <c r="F245" s="43"/>
      <c r="G245" s="53">
        <v>128039</v>
      </c>
      <c r="H245" s="54" t="s">
        <v>108</v>
      </c>
      <c r="I245" s="54" t="s">
        <v>472</v>
      </c>
      <c r="J245" s="55" t="s">
        <v>88</v>
      </c>
      <c r="K245" s="54" t="s">
        <v>172</v>
      </c>
      <c r="L245" s="56">
        <f>37297+(6*364)</f>
        <v>39481</v>
      </c>
      <c r="M245" s="43">
        <f t="shared" ca="1" si="3"/>
        <v>17</v>
      </c>
    </row>
    <row r="246" spans="1:13" x14ac:dyDescent="0.3">
      <c r="A246" s="49" t="s">
        <v>481</v>
      </c>
      <c r="B246" s="49" t="s">
        <v>89</v>
      </c>
      <c r="C246" s="50">
        <v>33557</v>
      </c>
      <c r="D246" s="51">
        <v>74150</v>
      </c>
      <c r="E246" s="52">
        <v>3037848542</v>
      </c>
      <c r="F246" s="43" t="s">
        <v>81</v>
      </c>
      <c r="G246" s="53">
        <v>112945</v>
      </c>
      <c r="H246" s="54" t="s">
        <v>70</v>
      </c>
      <c r="I246" s="54" t="s">
        <v>211</v>
      </c>
      <c r="J246" s="55" t="s">
        <v>72</v>
      </c>
      <c r="K246" s="54" t="s">
        <v>172</v>
      </c>
      <c r="L246" s="56">
        <f>37820+(6*364)</f>
        <v>40004</v>
      </c>
      <c r="M246" s="43">
        <f t="shared" ca="1" si="3"/>
        <v>16</v>
      </c>
    </row>
    <row r="247" spans="1:13" x14ac:dyDescent="0.3">
      <c r="A247" s="49" t="s">
        <v>483</v>
      </c>
      <c r="B247" s="49" t="s">
        <v>89</v>
      </c>
      <c r="C247" s="50">
        <v>13233</v>
      </c>
      <c r="D247" s="51">
        <v>135031</v>
      </c>
      <c r="E247" s="52">
        <v>3036109756</v>
      </c>
      <c r="F247" s="43" t="s">
        <v>69</v>
      </c>
      <c r="G247" s="53">
        <v>49968</v>
      </c>
      <c r="H247" s="54" t="s">
        <v>70</v>
      </c>
      <c r="I247" s="54" t="s">
        <v>475</v>
      </c>
      <c r="J247" s="55" t="s">
        <v>88</v>
      </c>
      <c r="K247" s="54" t="s">
        <v>73</v>
      </c>
      <c r="L247" s="56">
        <f>37529+(6*364)</f>
        <v>39713</v>
      </c>
      <c r="M247" s="43">
        <f t="shared" ca="1" si="3"/>
        <v>17</v>
      </c>
    </row>
    <row r="248" spans="1:13" x14ac:dyDescent="0.3">
      <c r="A248" s="49" t="s">
        <v>485</v>
      </c>
      <c r="B248" s="49" t="s">
        <v>89</v>
      </c>
      <c r="C248" s="50">
        <v>72448</v>
      </c>
      <c r="D248" s="51">
        <v>51119</v>
      </c>
      <c r="E248" s="52">
        <v>9707508998</v>
      </c>
      <c r="F248" s="43" t="s">
        <v>75</v>
      </c>
      <c r="G248" s="53">
        <v>47056</v>
      </c>
      <c r="H248" s="54" t="s">
        <v>70</v>
      </c>
      <c r="I248" s="54" t="s">
        <v>477</v>
      </c>
      <c r="J248" s="55" t="s">
        <v>78</v>
      </c>
      <c r="K248" s="54" t="s">
        <v>84</v>
      </c>
      <c r="L248" s="56">
        <f>37178+(6*364)</f>
        <v>39362</v>
      </c>
      <c r="M248" s="43">
        <f t="shared" ca="1" si="3"/>
        <v>18</v>
      </c>
    </row>
    <row r="249" spans="1:13" x14ac:dyDescent="0.3">
      <c r="A249" s="49" t="s">
        <v>487</v>
      </c>
      <c r="B249" s="49" t="s">
        <v>89</v>
      </c>
      <c r="C249" s="50">
        <v>99398</v>
      </c>
      <c r="D249" s="51">
        <v>48957</v>
      </c>
      <c r="E249" s="52">
        <v>9708385730</v>
      </c>
      <c r="F249" s="43" t="s">
        <v>75</v>
      </c>
      <c r="G249" s="53">
        <v>79618</v>
      </c>
      <c r="H249" s="54" t="s">
        <v>70</v>
      </c>
      <c r="I249" s="54" t="s">
        <v>479</v>
      </c>
      <c r="J249" s="55" t="s">
        <v>78</v>
      </c>
      <c r="K249" s="54" t="s">
        <v>89</v>
      </c>
      <c r="L249" s="56">
        <f>37753+(6*364)</f>
        <v>39937</v>
      </c>
      <c r="M249" s="43">
        <f t="shared" ca="1" si="3"/>
        <v>16</v>
      </c>
    </row>
    <row r="250" spans="1:13" x14ac:dyDescent="0.3">
      <c r="A250" s="49" t="s">
        <v>488</v>
      </c>
      <c r="B250" s="49" t="s">
        <v>89</v>
      </c>
      <c r="C250" s="50">
        <v>98745</v>
      </c>
      <c r="D250" s="51">
        <v>125076</v>
      </c>
      <c r="E250" s="52">
        <v>7196410575</v>
      </c>
      <c r="F250" s="43" t="s">
        <v>98</v>
      </c>
      <c r="G250" s="53">
        <v>38895</v>
      </c>
      <c r="H250" s="54" t="s">
        <v>70</v>
      </c>
      <c r="I250" s="54" t="s">
        <v>465</v>
      </c>
      <c r="J250" s="55" t="s">
        <v>78</v>
      </c>
      <c r="K250" s="54" t="s">
        <v>106</v>
      </c>
      <c r="L250" s="56">
        <f>37889+(6*364)</f>
        <v>40073</v>
      </c>
      <c r="M250" s="43">
        <f t="shared" ca="1" si="3"/>
        <v>16</v>
      </c>
    </row>
    <row r="251" spans="1:13" x14ac:dyDescent="0.3">
      <c r="A251" s="49" t="s">
        <v>490</v>
      </c>
      <c r="B251" s="49" t="s">
        <v>89</v>
      </c>
      <c r="C251" s="50">
        <v>74805</v>
      </c>
      <c r="D251" s="51">
        <v>76747</v>
      </c>
      <c r="E251" s="52">
        <v>9705724528</v>
      </c>
      <c r="F251" s="43"/>
      <c r="G251" s="53">
        <v>67278</v>
      </c>
      <c r="H251" s="54" t="s">
        <v>86</v>
      </c>
      <c r="I251" s="54" t="s">
        <v>482</v>
      </c>
      <c r="J251" s="55" t="s">
        <v>153</v>
      </c>
      <c r="K251" s="54" t="s">
        <v>103</v>
      </c>
      <c r="L251" s="56">
        <f>36626+(6*364)</f>
        <v>38810</v>
      </c>
      <c r="M251" s="43">
        <f t="shared" ca="1" si="3"/>
        <v>19</v>
      </c>
    </row>
    <row r="252" spans="1:13" x14ac:dyDescent="0.3">
      <c r="A252" s="49" t="s">
        <v>492</v>
      </c>
      <c r="B252" s="49" t="s">
        <v>89</v>
      </c>
      <c r="C252" s="50">
        <v>45499</v>
      </c>
      <c r="D252" s="51">
        <v>95869</v>
      </c>
      <c r="E252" s="52">
        <v>9706194175</v>
      </c>
      <c r="F252" s="43" t="s">
        <v>98</v>
      </c>
      <c r="G252" s="53">
        <v>104296</v>
      </c>
      <c r="H252" s="54" t="s">
        <v>70</v>
      </c>
      <c r="I252" s="54" t="s">
        <v>484</v>
      </c>
      <c r="J252" s="55" t="s">
        <v>72</v>
      </c>
      <c r="K252" s="54" t="s">
        <v>204</v>
      </c>
      <c r="L252" s="56">
        <f>35204+(6*364)</f>
        <v>37388</v>
      </c>
      <c r="M252" s="43">
        <f t="shared" ca="1" si="3"/>
        <v>23</v>
      </c>
    </row>
    <row r="253" spans="1:13" x14ac:dyDescent="0.3">
      <c r="A253" s="49" t="s">
        <v>493</v>
      </c>
      <c r="B253" s="49" t="s">
        <v>89</v>
      </c>
      <c r="C253" s="50">
        <v>28352</v>
      </c>
      <c r="D253" s="51">
        <v>56512</v>
      </c>
      <c r="E253" s="52">
        <v>7192400087</v>
      </c>
      <c r="F253" s="43" t="s">
        <v>91</v>
      </c>
      <c r="G253" s="53">
        <v>126973</v>
      </c>
      <c r="H253" s="54" t="s">
        <v>70</v>
      </c>
      <c r="I253" s="54" t="s">
        <v>486</v>
      </c>
      <c r="J253" s="55" t="s">
        <v>88</v>
      </c>
      <c r="K253" s="54" t="s">
        <v>89</v>
      </c>
      <c r="L253" s="56">
        <f>38459+(6*364)</f>
        <v>40643</v>
      </c>
      <c r="M253" s="43">
        <f t="shared" ca="1" si="3"/>
        <v>14</v>
      </c>
    </row>
    <row r="254" spans="1:13" x14ac:dyDescent="0.3">
      <c r="A254" s="49" t="s">
        <v>494</v>
      </c>
      <c r="B254" s="49" t="s">
        <v>89</v>
      </c>
      <c r="C254" s="50">
        <v>16817</v>
      </c>
      <c r="D254" s="51">
        <v>22225</v>
      </c>
      <c r="E254" s="52">
        <v>9705866679</v>
      </c>
      <c r="F254" s="43" t="s">
        <v>75</v>
      </c>
      <c r="G254" s="53">
        <v>73488</v>
      </c>
      <c r="H254" s="54" t="s">
        <v>70</v>
      </c>
      <c r="I254" s="54" t="s">
        <v>467</v>
      </c>
      <c r="J254" s="55" t="s">
        <v>78</v>
      </c>
      <c r="K254" s="54" t="s">
        <v>106</v>
      </c>
      <c r="L254" s="56">
        <f>37441+(6*364)</f>
        <v>39625</v>
      </c>
      <c r="M254" s="43">
        <f t="shared" ca="1" si="3"/>
        <v>17</v>
      </c>
    </row>
    <row r="255" spans="1:13" x14ac:dyDescent="0.3">
      <c r="A255" s="49" t="s">
        <v>495</v>
      </c>
      <c r="B255" s="49" t="s">
        <v>89</v>
      </c>
      <c r="C255" s="50">
        <v>55100</v>
      </c>
      <c r="D255" s="51">
        <v>106667</v>
      </c>
      <c r="E255" s="52">
        <v>9708642893</v>
      </c>
      <c r="F255" s="43" t="s">
        <v>91</v>
      </c>
      <c r="G255" s="53">
        <v>83586</v>
      </c>
      <c r="H255" s="54" t="s">
        <v>76</v>
      </c>
      <c r="I255" s="54" t="s">
        <v>489</v>
      </c>
      <c r="J255" s="55" t="s">
        <v>72</v>
      </c>
      <c r="K255" s="54" t="s">
        <v>93</v>
      </c>
      <c r="L255" s="56">
        <f>42401+(6*364)</f>
        <v>44585</v>
      </c>
      <c r="M255" s="43">
        <f t="shared" ca="1" si="3"/>
        <v>3</v>
      </c>
    </row>
    <row r="256" spans="1:13" x14ac:dyDescent="0.3">
      <c r="A256" s="49" t="s">
        <v>497</v>
      </c>
      <c r="B256" s="49" t="s">
        <v>89</v>
      </c>
      <c r="C256" s="50">
        <v>90261</v>
      </c>
      <c r="D256" s="51">
        <v>61567</v>
      </c>
      <c r="E256" s="52">
        <v>3031876990</v>
      </c>
      <c r="F256" s="43"/>
      <c r="G256" s="53">
        <v>30473</v>
      </c>
      <c r="H256" s="54" t="s">
        <v>86</v>
      </c>
      <c r="I256" s="54" t="s">
        <v>491</v>
      </c>
      <c r="J256" s="55" t="s">
        <v>153</v>
      </c>
      <c r="K256" s="54" t="s">
        <v>89</v>
      </c>
      <c r="L256" s="56">
        <f>38524+(6*364)</f>
        <v>40708</v>
      </c>
      <c r="M256" s="43">
        <f t="shared" ca="1" si="3"/>
        <v>14</v>
      </c>
    </row>
    <row r="257" spans="1:13" x14ac:dyDescent="0.3">
      <c r="A257" s="49" t="s">
        <v>498</v>
      </c>
      <c r="B257" s="49" t="s">
        <v>89</v>
      </c>
      <c r="C257" s="50">
        <v>99489</v>
      </c>
      <c r="D257" s="51">
        <v>61424</v>
      </c>
      <c r="E257" s="52">
        <v>7193539786</v>
      </c>
      <c r="F257" s="43"/>
      <c r="G257" s="53">
        <v>59575</v>
      </c>
      <c r="H257" s="54" t="s">
        <v>86</v>
      </c>
      <c r="I257" s="54" t="s">
        <v>317</v>
      </c>
      <c r="J257" s="55" t="s">
        <v>78</v>
      </c>
      <c r="K257" s="54" t="s">
        <v>172</v>
      </c>
      <c r="L257" s="56">
        <f>40161+(6*364)</f>
        <v>42345</v>
      </c>
      <c r="M257" s="43">
        <f t="shared" ca="1" si="3"/>
        <v>10</v>
      </c>
    </row>
    <row r="258" spans="1:13" x14ac:dyDescent="0.3">
      <c r="A258" s="49" t="s">
        <v>500</v>
      </c>
      <c r="B258" s="49" t="s">
        <v>89</v>
      </c>
      <c r="C258" s="50">
        <v>74506</v>
      </c>
      <c r="D258" s="51">
        <v>25808</v>
      </c>
      <c r="E258" s="52">
        <v>3032339143</v>
      </c>
      <c r="F258" s="43" t="s">
        <v>81</v>
      </c>
      <c r="G258" s="53">
        <v>85901</v>
      </c>
      <c r="H258" s="54" t="s">
        <v>70</v>
      </c>
      <c r="I258" s="54" t="s">
        <v>365</v>
      </c>
      <c r="J258" s="55" t="s">
        <v>72</v>
      </c>
      <c r="K258" s="54" t="s">
        <v>103</v>
      </c>
      <c r="L258" s="56">
        <f>41328+(6*364)</f>
        <v>43512</v>
      </c>
      <c r="M258" s="43">
        <f t="shared" ref="M258:M321" ca="1" si="4">DATEDIF(L258,TODAY(),"Y")</f>
        <v>6</v>
      </c>
    </row>
    <row r="259" spans="1:13" x14ac:dyDescent="0.3">
      <c r="A259" s="49" t="s">
        <v>502</v>
      </c>
      <c r="B259" s="49" t="s">
        <v>89</v>
      </c>
      <c r="C259" s="50">
        <v>30332</v>
      </c>
      <c r="D259" s="51">
        <v>64914</v>
      </c>
      <c r="E259" s="52">
        <v>5052814530</v>
      </c>
      <c r="F259" s="43" t="s">
        <v>91</v>
      </c>
      <c r="G259" s="53">
        <v>124514</v>
      </c>
      <c r="H259" s="54" t="s">
        <v>76</v>
      </c>
      <c r="I259" s="54" t="s">
        <v>411</v>
      </c>
      <c r="J259" s="55" t="s">
        <v>78</v>
      </c>
      <c r="K259" s="54" t="s">
        <v>89</v>
      </c>
      <c r="L259" s="56">
        <f>40461+(6*364)</f>
        <v>42645</v>
      </c>
      <c r="M259" s="43">
        <f t="shared" ca="1" si="4"/>
        <v>9</v>
      </c>
    </row>
    <row r="260" spans="1:13" x14ac:dyDescent="0.3">
      <c r="A260" s="49" t="s">
        <v>503</v>
      </c>
      <c r="B260" s="49" t="s">
        <v>89</v>
      </c>
      <c r="C260" s="50">
        <v>27397</v>
      </c>
      <c r="D260" s="51">
        <v>39353</v>
      </c>
      <c r="E260" s="52">
        <v>3032604602</v>
      </c>
      <c r="F260" s="43" t="s">
        <v>98</v>
      </c>
      <c r="G260" s="53">
        <v>52875</v>
      </c>
      <c r="H260" s="54" t="s">
        <v>70</v>
      </c>
      <c r="I260" s="54" t="s">
        <v>496</v>
      </c>
      <c r="J260" s="55" t="s">
        <v>88</v>
      </c>
      <c r="K260" s="54" t="s">
        <v>103</v>
      </c>
      <c r="L260" s="56">
        <f>35502+(6*364)</f>
        <v>37686</v>
      </c>
      <c r="M260" s="43">
        <f t="shared" ca="1" si="4"/>
        <v>22</v>
      </c>
    </row>
    <row r="261" spans="1:13" x14ac:dyDescent="0.3">
      <c r="A261" s="49" t="s">
        <v>505</v>
      </c>
      <c r="B261" s="49" t="s">
        <v>89</v>
      </c>
      <c r="C261" s="50">
        <v>16462</v>
      </c>
      <c r="D261" s="51">
        <v>79846</v>
      </c>
      <c r="E261" s="52">
        <v>5055594427</v>
      </c>
      <c r="F261" s="43" t="s">
        <v>69</v>
      </c>
      <c r="G261" s="53">
        <v>121840</v>
      </c>
      <c r="H261" s="54" t="s">
        <v>70</v>
      </c>
      <c r="I261" s="54" t="s">
        <v>468</v>
      </c>
      <c r="J261" s="55" t="s">
        <v>88</v>
      </c>
      <c r="K261" s="54" t="s">
        <v>89</v>
      </c>
      <c r="L261" s="56">
        <f>41314+(6*364)</f>
        <v>43498</v>
      </c>
      <c r="M261" s="43">
        <f t="shared" ca="1" si="4"/>
        <v>6</v>
      </c>
    </row>
    <row r="262" spans="1:13" x14ac:dyDescent="0.3">
      <c r="A262" s="49" t="s">
        <v>507</v>
      </c>
      <c r="B262" s="49" t="s">
        <v>89</v>
      </c>
      <c r="C262" s="50">
        <v>50543</v>
      </c>
      <c r="D262" s="51">
        <v>104529</v>
      </c>
      <c r="E262" s="52">
        <v>9708472270</v>
      </c>
      <c r="F262" s="43"/>
      <c r="G262" s="53">
        <v>45780</v>
      </c>
      <c r="H262" s="54" t="s">
        <v>86</v>
      </c>
      <c r="I262" s="54" t="s">
        <v>499</v>
      </c>
      <c r="J262" s="55" t="s">
        <v>72</v>
      </c>
      <c r="K262" s="54" t="s">
        <v>103</v>
      </c>
      <c r="L262" s="56">
        <f>40731+(6*364)</f>
        <v>42915</v>
      </c>
      <c r="M262" s="43">
        <f t="shared" ca="1" si="4"/>
        <v>8</v>
      </c>
    </row>
    <row r="263" spans="1:13" x14ac:dyDescent="0.3">
      <c r="A263" s="49" t="s">
        <v>508</v>
      </c>
      <c r="B263" s="49" t="s">
        <v>89</v>
      </c>
      <c r="C263" s="50">
        <v>12974</v>
      </c>
      <c r="D263" s="51">
        <v>53630</v>
      </c>
      <c r="E263" s="52">
        <v>5056965088</v>
      </c>
      <c r="F263" s="43" t="s">
        <v>91</v>
      </c>
      <c r="G263" s="53">
        <v>74696</v>
      </c>
      <c r="H263" s="54" t="s">
        <v>70</v>
      </c>
      <c r="I263" s="54" t="s">
        <v>501</v>
      </c>
      <c r="J263" s="55" t="s">
        <v>78</v>
      </c>
      <c r="K263" s="54" t="s">
        <v>89</v>
      </c>
      <c r="L263" s="56">
        <f>37414+(6*364)</f>
        <v>39598</v>
      </c>
      <c r="M263" s="43">
        <f t="shared" ca="1" si="4"/>
        <v>17</v>
      </c>
    </row>
    <row r="264" spans="1:13" x14ac:dyDescent="0.3">
      <c r="A264" s="49" t="s">
        <v>510</v>
      </c>
      <c r="B264" s="49" t="s">
        <v>89</v>
      </c>
      <c r="C264" s="50">
        <v>40833</v>
      </c>
      <c r="D264" s="51">
        <v>67178</v>
      </c>
      <c r="E264" s="52">
        <v>7198252392</v>
      </c>
      <c r="F264" s="43" t="s">
        <v>75</v>
      </c>
      <c r="G264" s="53">
        <v>122701</v>
      </c>
      <c r="H264" s="54" t="s">
        <v>70</v>
      </c>
      <c r="I264" s="54" t="s">
        <v>90</v>
      </c>
      <c r="J264" s="55" t="s">
        <v>72</v>
      </c>
      <c r="K264" s="54" t="s">
        <v>79</v>
      </c>
      <c r="L264" s="56">
        <f>38543+(6*364)</f>
        <v>40727</v>
      </c>
      <c r="M264" s="43">
        <f t="shared" ca="1" si="4"/>
        <v>14</v>
      </c>
    </row>
    <row r="265" spans="1:13" x14ac:dyDescent="0.3">
      <c r="A265" s="49" t="s">
        <v>512</v>
      </c>
      <c r="B265" s="49" t="s">
        <v>89</v>
      </c>
      <c r="C265" s="50">
        <v>72350</v>
      </c>
      <c r="D265" s="51">
        <v>117497</v>
      </c>
      <c r="E265" s="52">
        <v>7196168483</v>
      </c>
      <c r="F265" s="43"/>
      <c r="G265" s="53">
        <v>39915</v>
      </c>
      <c r="H265" s="54" t="s">
        <v>108</v>
      </c>
      <c r="I265" s="54" t="s">
        <v>504</v>
      </c>
      <c r="J265" s="55" t="s">
        <v>153</v>
      </c>
      <c r="K265" s="54" t="s">
        <v>89</v>
      </c>
      <c r="L265" s="56">
        <f>40798+(6*364)</f>
        <v>42982</v>
      </c>
      <c r="M265" s="43">
        <f t="shared" ca="1" si="4"/>
        <v>8</v>
      </c>
    </row>
    <row r="266" spans="1:13" x14ac:dyDescent="0.3">
      <c r="A266" s="49" t="s">
        <v>514</v>
      </c>
      <c r="B266" s="49" t="s">
        <v>89</v>
      </c>
      <c r="C266" s="50">
        <v>14019</v>
      </c>
      <c r="D266" s="51">
        <v>67505</v>
      </c>
      <c r="E266" s="52">
        <v>3032140101</v>
      </c>
      <c r="F266" s="43" t="s">
        <v>91</v>
      </c>
      <c r="G266" s="53">
        <v>48216</v>
      </c>
      <c r="H266" s="54" t="s">
        <v>70</v>
      </c>
      <c r="I266" s="54" t="s">
        <v>506</v>
      </c>
      <c r="J266" s="55" t="s">
        <v>100</v>
      </c>
      <c r="K266" s="54" t="s">
        <v>84</v>
      </c>
      <c r="L266" s="56">
        <f>35331+(6*364)</f>
        <v>37515</v>
      </c>
      <c r="M266" s="43">
        <f t="shared" ca="1" si="4"/>
        <v>23</v>
      </c>
    </row>
    <row r="267" spans="1:13" x14ac:dyDescent="0.3">
      <c r="A267" s="49" t="s">
        <v>515</v>
      </c>
      <c r="B267" s="49" t="s">
        <v>89</v>
      </c>
      <c r="C267" s="50">
        <v>13074</v>
      </c>
      <c r="D267" s="51">
        <v>74592</v>
      </c>
      <c r="E267" s="52">
        <v>9704785979</v>
      </c>
      <c r="F267" s="43" t="s">
        <v>98</v>
      </c>
      <c r="G267" s="53">
        <v>93550</v>
      </c>
      <c r="H267" s="54" t="s">
        <v>76</v>
      </c>
      <c r="I267" s="54" t="s">
        <v>212</v>
      </c>
      <c r="J267" s="55" t="s">
        <v>72</v>
      </c>
      <c r="K267" s="54" t="s">
        <v>355</v>
      </c>
      <c r="L267" s="56">
        <f>39870+(6*364)</f>
        <v>42054</v>
      </c>
      <c r="M267" s="43">
        <f t="shared" ca="1" si="4"/>
        <v>10</v>
      </c>
    </row>
    <row r="268" spans="1:13" x14ac:dyDescent="0.3">
      <c r="A268" s="49" t="s">
        <v>516</v>
      </c>
      <c r="B268" s="49" t="s">
        <v>89</v>
      </c>
      <c r="C268" s="50">
        <v>50068</v>
      </c>
      <c r="D268" s="51">
        <v>90441</v>
      </c>
      <c r="E268" s="52">
        <v>3032376215</v>
      </c>
      <c r="F268" s="43" t="s">
        <v>98</v>
      </c>
      <c r="G268" s="53">
        <v>80340</v>
      </c>
      <c r="H268" s="54" t="s">
        <v>70</v>
      </c>
      <c r="I268" s="54" t="s">
        <v>509</v>
      </c>
      <c r="J268" s="55" t="s">
        <v>153</v>
      </c>
      <c r="K268" s="54" t="s">
        <v>146</v>
      </c>
      <c r="L268" s="56">
        <f>35541+(6*364)</f>
        <v>37725</v>
      </c>
      <c r="M268" s="43">
        <f t="shared" ca="1" si="4"/>
        <v>22</v>
      </c>
    </row>
    <row r="269" spans="1:13" x14ac:dyDescent="0.3">
      <c r="A269" s="49" t="s">
        <v>518</v>
      </c>
      <c r="B269" s="49" t="s">
        <v>89</v>
      </c>
      <c r="C269" s="50">
        <v>40174</v>
      </c>
      <c r="D269" s="51">
        <v>53280</v>
      </c>
      <c r="E269" s="52">
        <v>5057230063</v>
      </c>
      <c r="F269" s="43" t="s">
        <v>91</v>
      </c>
      <c r="G269" s="53">
        <v>37705</v>
      </c>
      <c r="H269" s="54" t="s">
        <v>70</v>
      </c>
      <c r="I269" s="54" t="s">
        <v>511</v>
      </c>
      <c r="J269" s="55" t="s">
        <v>88</v>
      </c>
      <c r="K269" s="54" t="s">
        <v>89</v>
      </c>
      <c r="L269" s="56">
        <f>37112+(6*364)</f>
        <v>39296</v>
      </c>
      <c r="M269" s="43">
        <f t="shared" ca="1" si="4"/>
        <v>18</v>
      </c>
    </row>
    <row r="270" spans="1:13" x14ac:dyDescent="0.3">
      <c r="A270" s="49" t="s">
        <v>520</v>
      </c>
      <c r="B270" s="49" t="s">
        <v>89</v>
      </c>
      <c r="C270" s="50">
        <v>75158</v>
      </c>
      <c r="D270" s="51">
        <v>90673</v>
      </c>
      <c r="E270" s="52">
        <v>9705829090</v>
      </c>
      <c r="F270" s="43"/>
      <c r="G270" s="53">
        <v>54267</v>
      </c>
      <c r="H270" s="54" t="s">
        <v>86</v>
      </c>
      <c r="I270" s="54" t="s">
        <v>513</v>
      </c>
      <c r="J270" s="55" t="s">
        <v>72</v>
      </c>
      <c r="K270" s="54" t="s">
        <v>89</v>
      </c>
      <c r="L270" s="56">
        <f>36895+(6*364)</f>
        <v>39079</v>
      </c>
      <c r="M270" s="43">
        <f t="shared" ca="1" si="4"/>
        <v>18</v>
      </c>
    </row>
    <row r="271" spans="1:13" x14ac:dyDescent="0.3">
      <c r="A271" s="49" t="s">
        <v>521</v>
      </c>
      <c r="B271" s="49" t="s">
        <v>89</v>
      </c>
      <c r="C271" s="50">
        <v>62403</v>
      </c>
      <c r="D271" s="51">
        <v>63182</v>
      </c>
      <c r="E271" s="52">
        <v>9701156902</v>
      </c>
      <c r="F271" s="43"/>
      <c r="G271" s="53">
        <v>65696</v>
      </c>
      <c r="H271" s="54" t="s">
        <v>86</v>
      </c>
      <c r="I271" s="54" t="s">
        <v>214</v>
      </c>
      <c r="J271" s="55" t="s">
        <v>88</v>
      </c>
      <c r="K271" s="54" t="s">
        <v>106</v>
      </c>
      <c r="L271" s="56">
        <f>35152+(6*364)</f>
        <v>37336</v>
      </c>
      <c r="M271" s="43">
        <f t="shared" ca="1" si="4"/>
        <v>23</v>
      </c>
    </row>
    <row r="272" spans="1:13" x14ac:dyDescent="0.3">
      <c r="A272" s="49" t="s">
        <v>524</v>
      </c>
      <c r="B272" s="49" t="s">
        <v>89</v>
      </c>
      <c r="C272" s="50">
        <v>32585</v>
      </c>
      <c r="D272" s="51">
        <v>136893</v>
      </c>
      <c r="E272" s="52">
        <v>3031220758</v>
      </c>
      <c r="F272" s="43" t="s">
        <v>91</v>
      </c>
      <c r="G272" s="53">
        <v>94947</v>
      </c>
      <c r="H272" s="54" t="s">
        <v>70</v>
      </c>
      <c r="I272" s="54" t="s">
        <v>470</v>
      </c>
      <c r="J272" s="55" t="s">
        <v>83</v>
      </c>
      <c r="K272" s="54" t="s">
        <v>84</v>
      </c>
      <c r="L272" s="56">
        <f>42007+(6*364)</f>
        <v>44191</v>
      </c>
      <c r="M272" s="43">
        <f t="shared" ca="1" si="4"/>
        <v>4</v>
      </c>
    </row>
    <row r="273" spans="1:13" x14ac:dyDescent="0.3">
      <c r="A273" s="49" t="s">
        <v>525</v>
      </c>
      <c r="B273" s="49" t="s">
        <v>89</v>
      </c>
      <c r="C273" s="50">
        <v>59371</v>
      </c>
      <c r="D273" s="51">
        <v>72715</v>
      </c>
      <c r="E273" s="52">
        <v>7192917217</v>
      </c>
      <c r="F273" s="43" t="s">
        <v>69</v>
      </c>
      <c r="G273" s="53">
        <v>57511</v>
      </c>
      <c r="H273" s="54" t="s">
        <v>70</v>
      </c>
      <c r="I273" s="54" t="s">
        <v>517</v>
      </c>
      <c r="J273" s="55" t="s">
        <v>100</v>
      </c>
      <c r="K273" s="54" t="s">
        <v>89</v>
      </c>
      <c r="L273" s="56">
        <f>37235+(6*364)</f>
        <v>39419</v>
      </c>
      <c r="M273" s="43">
        <f t="shared" ca="1" si="4"/>
        <v>18</v>
      </c>
    </row>
    <row r="274" spans="1:13" x14ac:dyDescent="0.3">
      <c r="A274" s="49" t="s">
        <v>527</v>
      </c>
      <c r="B274" s="49" t="s">
        <v>89</v>
      </c>
      <c r="C274" s="50">
        <v>63601</v>
      </c>
      <c r="D274" s="51">
        <v>106318</v>
      </c>
      <c r="E274" s="52">
        <v>5055252544</v>
      </c>
      <c r="F274" s="43" t="s">
        <v>91</v>
      </c>
      <c r="G274" s="53">
        <v>69228</v>
      </c>
      <c r="H274" s="54" t="s">
        <v>70</v>
      </c>
      <c r="I274" s="54" t="s">
        <v>519</v>
      </c>
      <c r="J274" s="55" t="s">
        <v>88</v>
      </c>
      <c r="K274" s="54" t="s">
        <v>146</v>
      </c>
      <c r="L274" s="56">
        <f>42296+(6*364)</f>
        <v>44480</v>
      </c>
      <c r="M274" s="43">
        <f t="shared" ca="1" si="4"/>
        <v>4</v>
      </c>
    </row>
    <row r="275" spans="1:13" x14ac:dyDescent="0.3">
      <c r="A275" s="49" t="s">
        <v>529</v>
      </c>
      <c r="B275" s="49" t="s">
        <v>89</v>
      </c>
      <c r="C275" s="50">
        <v>12834</v>
      </c>
      <c r="D275" s="51">
        <v>102680</v>
      </c>
      <c r="E275" s="52">
        <v>9701593705</v>
      </c>
      <c r="F275" s="43" t="s">
        <v>91</v>
      </c>
      <c r="G275" s="53">
        <v>124026</v>
      </c>
      <c r="H275" s="54" t="s">
        <v>70</v>
      </c>
      <c r="I275" s="54" t="s">
        <v>471</v>
      </c>
      <c r="J275" s="55" t="s">
        <v>100</v>
      </c>
      <c r="K275" s="54" t="s">
        <v>172</v>
      </c>
      <c r="L275" s="56">
        <f>35206+(6*364)</f>
        <v>37390</v>
      </c>
      <c r="M275" s="43">
        <f t="shared" ca="1" si="4"/>
        <v>23</v>
      </c>
    </row>
    <row r="276" spans="1:13" x14ac:dyDescent="0.3">
      <c r="A276" s="49" t="s">
        <v>531</v>
      </c>
      <c r="B276" s="49" t="s">
        <v>89</v>
      </c>
      <c r="C276" s="50">
        <v>68469</v>
      </c>
      <c r="D276" s="51">
        <v>56905</v>
      </c>
      <c r="E276" s="52">
        <v>7192121334</v>
      </c>
      <c r="F276" s="43" t="s">
        <v>75</v>
      </c>
      <c r="G276" s="53">
        <v>50811</v>
      </c>
      <c r="H276" s="54" t="s">
        <v>70</v>
      </c>
      <c r="I276" s="54" t="s">
        <v>522</v>
      </c>
      <c r="J276" s="55" t="s">
        <v>78</v>
      </c>
      <c r="K276" s="54" t="s">
        <v>523</v>
      </c>
      <c r="L276" s="56">
        <f>35311+(6*364)</f>
        <v>37495</v>
      </c>
      <c r="M276" s="43">
        <f t="shared" ca="1" si="4"/>
        <v>23</v>
      </c>
    </row>
    <row r="277" spans="1:13" x14ac:dyDescent="0.3">
      <c r="A277" s="49" t="s">
        <v>533</v>
      </c>
      <c r="B277" s="49" t="s">
        <v>89</v>
      </c>
      <c r="C277" s="50">
        <v>67717</v>
      </c>
      <c r="D277" s="51">
        <v>83411</v>
      </c>
      <c r="E277" s="52">
        <v>7192969056</v>
      </c>
      <c r="F277" s="43" t="s">
        <v>98</v>
      </c>
      <c r="G277" s="53">
        <v>108067</v>
      </c>
      <c r="H277" s="54" t="s">
        <v>70</v>
      </c>
      <c r="I277" s="54" t="s">
        <v>301</v>
      </c>
      <c r="J277" s="55" t="s">
        <v>153</v>
      </c>
      <c r="K277" s="54" t="s">
        <v>106</v>
      </c>
      <c r="L277" s="56">
        <f>37043+(6*364)</f>
        <v>39227</v>
      </c>
      <c r="M277" s="43">
        <f t="shared" ca="1" si="4"/>
        <v>18</v>
      </c>
    </row>
    <row r="278" spans="1:13" x14ac:dyDescent="0.3">
      <c r="A278" s="49" t="s">
        <v>534</v>
      </c>
      <c r="B278" s="49" t="s">
        <v>89</v>
      </c>
      <c r="C278" s="50">
        <v>66455</v>
      </c>
      <c r="D278" s="51">
        <v>97936</v>
      </c>
      <c r="E278" s="52">
        <v>9706505454</v>
      </c>
      <c r="F278" s="43"/>
      <c r="G278" s="53">
        <v>48209</v>
      </c>
      <c r="H278" s="54" t="s">
        <v>86</v>
      </c>
      <c r="I278" s="54" t="s">
        <v>526</v>
      </c>
      <c r="J278" s="55" t="s">
        <v>78</v>
      </c>
      <c r="K278" s="54" t="s">
        <v>106</v>
      </c>
      <c r="L278" s="56">
        <f>39884+(6*364)</f>
        <v>42068</v>
      </c>
      <c r="M278" s="43">
        <f t="shared" ca="1" si="4"/>
        <v>10</v>
      </c>
    </row>
    <row r="279" spans="1:13" x14ac:dyDescent="0.3">
      <c r="A279" s="49" t="s">
        <v>535</v>
      </c>
      <c r="B279" s="49" t="s">
        <v>89</v>
      </c>
      <c r="C279" s="50">
        <v>53423</v>
      </c>
      <c r="D279" s="51">
        <v>64893</v>
      </c>
      <c r="E279" s="52">
        <v>7196525807</v>
      </c>
      <c r="F279" s="43" t="s">
        <v>75</v>
      </c>
      <c r="G279" s="53">
        <v>44624</v>
      </c>
      <c r="H279" s="54" t="s">
        <v>70</v>
      </c>
      <c r="I279" s="54" t="s">
        <v>528</v>
      </c>
      <c r="J279" s="55" t="s">
        <v>83</v>
      </c>
      <c r="K279" s="54" t="s">
        <v>89</v>
      </c>
      <c r="L279" s="56">
        <f>40245+(6*364)</f>
        <v>42429</v>
      </c>
      <c r="M279" s="43">
        <f t="shared" ca="1" si="4"/>
        <v>9</v>
      </c>
    </row>
    <row r="280" spans="1:13" x14ac:dyDescent="0.3">
      <c r="A280" s="49" t="s">
        <v>537</v>
      </c>
      <c r="B280" s="49" t="s">
        <v>89</v>
      </c>
      <c r="C280" s="50">
        <v>28688</v>
      </c>
      <c r="D280" s="51">
        <v>99944</v>
      </c>
      <c r="E280" s="52">
        <v>5051777060</v>
      </c>
      <c r="F280" s="43" t="s">
        <v>98</v>
      </c>
      <c r="G280" s="53">
        <v>47285</v>
      </c>
      <c r="H280" s="54" t="s">
        <v>70</v>
      </c>
      <c r="I280" s="54" t="s">
        <v>530</v>
      </c>
      <c r="J280" s="55" t="s">
        <v>88</v>
      </c>
      <c r="K280" s="54" t="s">
        <v>103</v>
      </c>
      <c r="L280" s="56">
        <f>39635+(6*364)</f>
        <v>41819</v>
      </c>
      <c r="M280" s="43">
        <f t="shared" ca="1" si="4"/>
        <v>11</v>
      </c>
    </row>
    <row r="281" spans="1:13" x14ac:dyDescent="0.3">
      <c r="A281" s="49" t="s">
        <v>539</v>
      </c>
      <c r="B281" s="49" t="s">
        <v>89</v>
      </c>
      <c r="C281" s="50">
        <v>38032</v>
      </c>
      <c r="D281" s="51">
        <v>107147</v>
      </c>
      <c r="E281" s="52">
        <v>5058238755</v>
      </c>
      <c r="F281" s="43" t="s">
        <v>98</v>
      </c>
      <c r="G281" s="53">
        <v>54781</v>
      </c>
      <c r="H281" s="54" t="s">
        <v>70</v>
      </c>
      <c r="I281" s="54" t="s">
        <v>532</v>
      </c>
      <c r="J281" s="55" t="s">
        <v>72</v>
      </c>
      <c r="K281" s="54" t="s">
        <v>79</v>
      </c>
      <c r="L281" s="56">
        <f>35929+(6*364)</f>
        <v>38113</v>
      </c>
      <c r="M281" s="43">
        <f t="shared" ca="1" si="4"/>
        <v>21</v>
      </c>
    </row>
    <row r="282" spans="1:13" x14ac:dyDescent="0.3">
      <c r="A282" s="49" t="s">
        <v>540</v>
      </c>
      <c r="B282" s="49" t="s">
        <v>89</v>
      </c>
      <c r="C282" s="50">
        <v>79080</v>
      </c>
      <c r="D282" s="51">
        <v>55049</v>
      </c>
      <c r="E282" s="52">
        <v>3036718651</v>
      </c>
      <c r="F282" s="43" t="s">
        <v>98</v>
      </c>
      <c r="G282" s="53">
        <v>119384</v>
      </c>
      <c r="H282" s="54" t="s">
        <v>70</v>
      </c>
      <c r="I282" s="54" t="s">
        <v>473</v>
      </c>
      <c r="J282" s="55" t="s">
        <v>72</v>
      </c>
      <c r="K282" s="54" t="s">
        <v>103</v>
      </c>
      <c r="L282" s="56">
        <f>36661+(6*364)</f>
        <v>38845</v>
      </c>
      <c r="M282" s="43">
        <f t="shared" ca="1" si="4"/>
        <v>19</v>
      </c>
    </row>
    <row r="283" spans="1:13" x14ac:dyDescent="0.3">
      <c r="A283" s="49" t="s">
        <v>541</v>
      </c>
      <c r="B283" s="49" t="s">
        <v>89</v>
      </c>
      <c r="C283" s="50">
        <v>15091</v>
      </c>
      <c r="D283" s="51">
        <v>95926</v>
      </c>
      <c r="E283" s="52">
        <v>3038304204</v>
      </c>
      <c r="F283" s="43"/>
      <c r="G283" s="53">
        <v>129801</v>
      </c>
      <c r="H283" s="54" t="s">
        <v>108</v>
      </c>
      <c r="I283" s="54" t="s">
        <v>474</v>
      </c>
      <c r="J283" s="55" t="s">
        <v>88</v>
      </c>
      <c r="K283" s="54" t="s">
        <v>79</v>
      </c>
      <c r="L283" s="56">
        <f>36647+(6*364)</f>
        <v>38831</v>
      </c>
      <c r="M283" s="43">
        <f t="shared" ca="1" si="4"/>
        <v>19</v>
      </c>
    </row>
    <row r="284" spans="1:13" x14ac:dyDescent="0.3">
      <c r="A284" s="49" t="s">
        <v>543</v>
      </c>
      <c r="B284" s="49" t="s">
        <v>89</v>
      </c>
      <c r="C284" s="50">
        <v>62596</v>
      </c>
      <c r="D284" s="51">
        <v>21064</v>
      </c>
      <c r="E284" s="52">
        <v>3033542524</v>
      </c>
      <c r="F284" s="43" t="s">
        <v>75</v>
      </c>
      <c r="G284" s="53">
        <v>125813</v>
      </c>
      <c r="H284" s="54" t="s">
        <v>70</v>
      </c>
      <c r="I284" s="54" t="s">
        <v>536</v>
      </c>
      <c r="J284" s="55" t="s">
        <v>153</v>
      </c>
      <c r="K284" s="54" t="s">
        <v>84</v>
      </c>
      <c r="L284" s="56">
        <f>38295+(6*364)</f>
        <v>40479</v>
      </c>
      <c r="M284" s="43">
        <f t="shared" ca="1" si="4"/>
        <v>15</v>
      </c>
    </row>
    <row r="285" spans="1:13" x14ac:dyDescent="0.3">
      <c r="A285" s="49" t="s">
        <v>545</v>
      </c>
      <c r="B285" s="49" t="s">
        <v>89</v>
      </c>
      <c r="C285" s="50">
        <v>12730</v>
      </c>
      <c r="D285" s="51">
        <v>116374</v>
      </c>
      <c r="E285" s="52">
        <v>9704361873</v>
      </c>
      <c r="F285" s="43" t="s">
        <v>81</v>
      </c>
      <c r="G285" s="53">
        <v>58562</v>
      </c>
      <c r="H285" s="54" t="s">
        <v>70</v>
      </c>
      <c r="I285" s="54" t="s">
        <v>538</v>
      </c>
      <c r="J285" s="55" t="s">
        <v>78</v>
      </c>
      <c r="K285" s="54" t="s">
        <v>103</v>
      </c>
      <c r="L285" s="56">
        <f>41581+(6*364)</f>
        <v>43765</v>
      </c>
      <c r="M285" s="43">
        <f t="shared" ca="1" si="4"/>
        <v>6</v>
      </c>
    </row>
    <row r="286" spans="1:13" x14ac:dyDescent="0.3">
      <c r="A286" s="49" t="s">
        <v>547</v>
      </c>
      <c r="B286" s="49" t="s">
        <v>89</v>
      </c>
      <c r="C286" s="50">
        <v>58796</v>
      </c>
      <c r="D286" s="51">
        <v>85536</v>
      </c>
      <c r="E286" s="52">
        <v>5058651774</v>
      </c>
      <c r="F286" s="43"/>
      <c r="G286" s="53">
        <v>34040</v>
      </c>
      <c r="H286" s="54" t="s">
        <v>86</v>
      </c>
      <c r="I286" s="54" t="s">
        <v>319</v>
      </c>
      <c r="J286" s="55" t="s">
        <v>78</v>
      </c>
      <c r="K286" s="54" t="s">
        <v>79</v>
      </c>
      <c r="L286" s="56">
        <f>35744+(6*364)</f>
        <v>37928</v>
      </c>
      <c r="M286" s="43">
        <f t="shared" ca="1" si="4"/>
        <v>22</v>
      </c>
    </row>
    <row r="287" spans="1:13" x14ac:dyDescent="0.3">
      <c r="A287" s="49" t="s">
        <v>548</v>
      </c>
      <c r="B287" s="49" t="s">
        <v>89</v>
      </c>
      <c r="C287" s="50">
        <v>55543</v>
      </c>
      <c r="D287" s="51">
        <v>100074</v>
      </c>
      <c r="E287" s="52">
        <v>7197091949</v>
      </c>
      <c r="F287" s="43"/>
      <c r="G287" s="53">
        <v>94988</v>
      </c>
      <c r="H287" s="54" t="s">
        <v>108</v>
      </c>
      <c r="I287" s="54" t="s">
        <v>476</v>
      </c>
      <c r="J287" s="55" t="s">
        <v>100</v>
      </c>
      <c r="K287" s="54" t="s">
        <v>95</v>
      </c>
      <c r="L287" s="56">
        <f>39328+(6*364)</f>
        <v>41512</v>
      </c>
      <c r="M287" s="43">
        <f t="shared" ca="1" si="4"/>
        <v>12</v>
      </c>
    </row>
    <row r="288" spans="1:13" x14ac:dyDescent="0.3">
      <c r="A288" s="49" t="s">
        <v>549</v>
      </c>
      <c r="B288" s="49" t="s">
        <v>89</v>
      </c>
      <c r="C288" s="50">
        <v>65118</v>
      </c>
      <c r="D288" s="51">
        <v>69150</v>
      </c>
      <c r="E288" s="52">
        <v>7196844371</v>
      </c>
      <c r="F288" s="43" t="s">
        <v>91</v>
      </c>
      <c r="G288" s="53">
        <v>110354</v>
      </c>
      <c r="H288" s="54" t="s">
        <v>70</v>
      </c>
      <c r="I288" s="54" t="s">
        <v>542</v>
      </c>
      <c r="J288" s="55" t="s">
        <v>83</v>
      </c>
      <c r="K288" s="54" t="s">
        <v>89</v>
      </c>
      <c r="L288" s="56">
        <f>37285+(6*364)</f>
        <v>39469</v>
      </c>
      <c r="M288" s="43">
        <f t="shared" ca="1" si="4"/>
        <v>17</v>
      </c>
    </row>
    <row r="289" spans="1:13" x14ac:dyDescent="0.3">
      <c r="A289" s="49" t="s">
        <v>550</v>
      </c>
      <c r="B289" s="49" t="s">
        <v>89</v>
      </c>
      <c r="C289" s="50">
        <v>43692</v>
      </c>
      <c r="D289" s="51">
        <v>116020</v>
      </c>
      <c r="E289" s="52">
        <v>7196966637</v>
      </c>
      <c r="F289" s="43" t="s">
        <v>98</v>
      </c>
      <c r="G289" s="53">
        <v>89224</v>
      </c>
      <c r="H289" s="54" t="s">
        <v>70</v>
      </c>
      <c r="I289" s="54" t="s">
        <v>544</v>
      </c>
      <c r="J289" s="55" t="s">
        <v>72</v>
      </c>
      <c r="K289" s="54" t="s">
        <v>103</v>
      </c>
      <c r="L289" s="56">
        <f>38619+(6*364)</f>
        <v>40803</v>
      </c>
      <c r="M289" s="43">
        <f t="shared" ca="1" si="4"/>
        <v>14</v>
      </c>
    </row>
    <row r="290" spans="1:13" x14ac:dyDescent="0.3">
      <c r="A290" s="49" t="s">
        <v>551</v>
      </c>
      <c r="B290" s="49" t="s">
        <v>89</v>
      </c>
      <c r="C290" s="50">
        <v>85293</v>
      </c>
      <c r="D290" s="51">
        <v>90164</v>
      </c>
      <c r="E290" s="52">
        <v>5057317354</v>
      </c>
      <c r="F290" s="43" t="s">
        <v>69</v>
      </c>
      <c r="G290" s="53">
        <v>129301</v>
      </c>
      <c r="H290" s="54" t="s">
        <v>70</v>
      </c>
      <c r="I290" s="54" t="s">
        <v>546</v>
      </c>
      <c r="J290" s="55" t="s">
        <v>72</v>
      </c>
      <c r="K290" s="54" t="s">
        <v>106</v>
      </c>
      <c r="L290" s="56">
        <f>36575+(6*364)</f>
        <v>38759</v>
      </c>
      <c r="M290" s="43">
        <f t="shared" ca="1" si="4"/>
        <v>19</v>
      </c>
    </row>
    <row r="291" spans="1:13" x14ac:dyDescent="0.3">
      <c r="A291" s="49" t="s">
        <v>554</v>
      </c>
      <c r="B291" s="49" t="s">
        <v>89</v>
      </c>
      <c r="C291" s="50">
        <v>48134</v>
      </c>
      <c r="D291" s="51">
        <v>63809</v>
      </c>
      <c r="E291" s="52">
        <v>3031673267</v>
      </c>
      <c r="F291" s="43" t="s">
        <v>75</v>
      </c>
      <c r="G291" s="53">
        <v>127874</v>
      </c>
      <c r="H291" s="54" t="s">
        <v>70</v>
      </c>
      <c r="I291" s="54" t="s">
        <v>413</v>
      </c>
      <c r="J291" s="55" t="s">
        <v>88</v>
      </c>
      <c r="K291" s="54" t="s">
        <v>172</v>
      </c>
      <c r="L291" s="56">
        <f>36678+(6*364)</f>
        <v>38862</v>
      </c>
      <c r="M291" s="43">
        <f t="shared" ca="1" si="4"/>
        <v>19</v>
      </c>
    </row>
    <row r="292" spans="1:13" x14ac:dyDescent="0.3">
      <c r="A292" s="49" t="s">
        <v>556</v>
      </c>
      <c r="B292" s="49" t="s">
        <v>89</v>
      </c>
      <c r="C292" s="50">
        <v>39550</v>
      </c>
      <c r="D292" s="51">
        <v>75509</v>
      </c>
      <c r="E292" s="52">
        <v>9702551469</v>
      </c>
      <c r="F292" s="43" t="s">
        <v>81</v>
      </c>
      <c r="G292" s="53">
        <v>49526</v>
      </c>
      <c r="H292" s="54" t="s">
        <v>76</v>
      </c>
      <c r="I292" s="54" t="s">
        <v>478</v>
      </c>
      <c r="J292" s="55" t="s">
        <v>100</v>
      </c>
      <c r="K292" s="54" t="s">
        <v>175</v>
      </c>
      <c r="L292" s="56">
        <f>39331+(6*364)</f>
        <v>41515</v>
      </c>
      <c r="M292" s="43">
        <f t="shared" ca="1" si="4"/>
        <v>12</v>
      </c>
    </row>
    <row r="293" spans="1:13" x14ac:dyDescent="0.3">
      <c r="A293" s="49" t="s">
        <v>558</v>
      </c>
      <c r="B293" s="49" t="s">
        <v>89</v>
      </c>
      <c r="C293" s="50">
        <v>26782</v>
      </c>
      <c r="D293" s="51">
        <v>111150</v>
      </c>
      <c r="E293" s="52">
        <v>7197560634</v>
      </c>
      <c r="F293" s="43"/>
      <c r="G293" s="53">
        <v>49147</v>
      </c>
      <c r="H293" s="54" t="s">
        <v>86</v>
      </c>
      <c r="I293" s="54" t="s">
        <v>480</v>
      </c>
      <c r="J293" s="55" t="s">
        <v>100</v>
      </c>
      <c r="K293" s="54" t="s">
        <v>106</v>
      </c>
      <c r="L293" s="56">
        <f>37121+(6*364)</f>
        <v>39305</v>
      </c>
      <c r="M293" s="43">
        <f t="shared" ca="1" si="4"/>
        <v>18</v>
      </c>
    </row>
    <row r="294" spans="1:13" x14ac:dyDescent="0.3">
      <c r="A294" s="49" t="s">
        <v>559</v>
      </c>
      <c r="B294" s="49" t="s">
        <v>89</v>
      </c>
      <c r="C294" s="50">
        <v>71737</v>
      </c>
      <c r="D294" s="51">
        <v>61888</v>
      </c>
      <c r="E294" s="52">
        <v>3036593848</v>
      </c>
      <c r="F294" s="43" t="s">
        <v>91</v>
      </c>
      <c r="G294" s="53">
        <v>129253</v>
      </c>
      <c r="H294" s="54" t="s">
        <v>70</v>
      </c>
      <c r="I294" s="54" t="s">
        <v>481</v>
      </c>
      <c r="J294" s="55" t="s">
        <v>83</v>
      </c>
      <c r="K294" s="54" t="s">
        <v>89</v>
      </c>
      <c r="L294" s="56">
        <f>39823+(6*364)</f>
        <v>42007</v>
      </c>
      <c r="M294" s="43">
        <f t="shared" ca="1" si="4"/>
        <v>10</v>
      </c>
    </row>
    <row r="295" spans="1:13" x14ac:dyDescent="0.3">
      <c r="A295" s="49" t="s">
        <v>561</v>
      </c>
      <c r="B295" s="49" t="s">
        <v>89</v>
      </c>
      <c r="C295" s="50">
        <v>64402</v>
      </c>
      <c r="D295" s="51">
        <v>109592</v>
      </c>
      <c r="E295" s="52">
        <v>7192064219</v>
      </c>
      <c r="F295" s="43" t="s">
        <v>552</v>
      </c>
      <c r="G295" s="53">
        <v>65377</v>
      </c>
      <c r="H295" s="54" t="s">
        <v>70</v>
      </c>
      <c r="I295" s="54" t="s">
        <v>553</v>
      </c>
      <c r="J295" s="55" t="s">
        <v>72</v>
      </c>
      <c r="K295" s="54" t="s">
        <v>89</v>
      </c>
      <c r="L295" s="56">
        <f>37450+(6*364)</f>
        <v>39634</v>
      </c>
      <c r="M295" s="43">
        <f t="shared" ca="1" si="4"/>
        <v>17</v>
      </c>
    </row>
    <row r="296" spans="1:13" x14ac:dyDescent="0.3">
      <c r="A296" s="49" t="s">
        <v>563</v>
      </c>
      <c r="B296" s="49" t="s">
        <v>89</v>
      </c>
      <c r="C296" s="50">
        <v>24091</v>
      </c>
      <c r="D296" s="51">
        <v>134332</v>
      </c>
      <c r="E296" s="52">
        <v>7192338778</v>
      </c>
      <c r="F296" s="43"/>
      <c r="G296" s="53">
        <v>91184</v>
      </c>
      <c r="H296" s="54" t="s">
        <v>108</v>
      </c>
      <c r="I296" s="54" t="s">
        <v>555</v>
      </c>
      <c r="J296" s="55" t="s">
        <v>72</v>
      </c>
      <c r="K296" s="54" t="s">
        <v>89</v>
      </c>
      <c r="L296" s="56">
        <f>36805+(6*364)</f>
        <v>38989</v>
      </c>
      <c r="M296" s="43">
        <f t="shared" ca="1" si="4"/>
        <v>19</v>
      </c>
    </row>
    <row r="297" spans="1:13" x14ac:dyDescent="0.3">
      <c r="A297" s="49" t="s">
        <v>564</v>
      </c>
      <c r="B297" s="49" t="s">
        <v>89</v>
      </c>
      <c r="C297" s="50">
        <v>59443</v>
      </c>
      <c r="D297" s="51">
        <v>66369</v>
      </c>
      <c r="E297" s="52">
        <v>7193962015</v>
      </c>
      <c r="F297" s="43" t="s">
        <v>98</v>
      </c>
      <c r="G297" s="53">
        <v>123061</v>
      </c>
      <c r="H297" s="54" t="s">
        <v>70</v>
      </c>
      <c r="I297" s="54" t="s">
        <v>557</v>
      </c>
      <c r="J297" s="55" t="s">
        <v>100</v>
      </c>
      <c r="K297" s="54" t="s">
        <v>106</v>
      </c>
      <c r="L297" s="56">
        <f>42499+(6*364)</f>
        <v>44683</v>
      </c>
      <c r="M297" s="43">
        <f t="shared" ca="1" si="4"/>
        <v>3</v>
      </c>
    </row>
    <row r="298" spans="1:13" x14ac:dyDescent="0.3">
      <c r="A298" s="49" t="s">
        <v>565</v>
      </c>
      <c r="B298" s="49" t="s">
        <v>89</v>
      </c>
      <c r="C298" s="50">
        <v>55523</v>
      </c>
      <c r="D298" s="51">
        <v>66195</v>
      </c>
      <c r="E298" s="52">
        <v>5051525844</v>
      </c>
      <c r="F298" s="43"/>
      <c r="G298" s="53">
        <v>48982</v>
      </c>
      <c r="H298" s="54" t="s">
        <v>86</v>
      </c>
      <c r="I298" s="54" t="s">
        <v>27</v>
      </c>
      <c r="J298" s="55" t="s">
        <v>88</v>
      </c>
      <c r="K298" s="54" t="s">
        <v>172</v>
      </c>
      <c r="L298" s="56">
        <f>37612+(6*364)</f>
        <v>39796</v>
      </c>
      <c r="M298" s="43">
        <f t="shared" ca="1" si="4"/>
        <v>17</v>
      </c>
    </row>
    <row r="299" spans="1:13" x14ac:dyDescent="0.3">
      <c r="A299" s="49" t="s">
        <v>567</v>
      </c>
      <c r="B299" s="49" t="s">
        <v>89</v>
      </c>
      <c r="C299" s="50">
        <v>29471</v>
      </c>
      <c r="D299" s="51">
        <v>64362</v>
      </c>
      <c r="E299" s="52">
        <v>5051847141</v>
      </c>
      <c r="F299" s="43"/>
      <c r="G299" s="53">
        <v>48289</v>
      </c>
      <c r="H299" s="54" t="s">
        <v>86</v>
      </c>
      <c r="I299" s="54" t="s">
        <v>560</v>
      </c>
      <c r="J299" s="55" t="s">
        <v>100</v>
      </c>
      <c r="K299" s="54" t="s">
        <v>106</v>
      </c>
      <c r="L299" s="56">
        <f>35602+(6*364)</f>
        <v>37786</v>
      </c>
      <c r="M299" s="43">
        <f t="shared" ca="1" si="4"/>
        <v>22</v>
      </c>
    </row>
    <row r="300" spans="1:13" x14ac:dyDescent="0.3">
      <c r="A300" s="49" t="s">
        <v>568</v>
      </c>
      <c r="B300" s="49" t="s">
        <v>89</v>
      </c>
      <c r="C300" s="50">
        <v>36484</v>
      </c>
      <c r="D300" s="51">
        <v>95475</v>
      </c>
      <c r="E300" s="52">
        <v>5058082183</v>
      </c>
      <c r="F300" s="43" t="s">
        <v>91</v>
      </c>
      <c r="G300" s="53">
        <v>56919</v>
      </c>
      <c r="H300" s="54" t="s">
        <v>70</v>
      </c>
      <c r="I300" s="54" t="s">
        <v>562</v>
      </c>
      <c r="J300" s="55" t="s">
        <v>78</v>
      </c>
      <c r="K300" s="54" t="s">
        <v>19</v>
      </c>
      <c r="L300" s="56">
        <f>40341+(6*364)</f>
        <v>42525</v>
      </c>
      <c r="M300" s="43">
        <f t="shared" ca="1" si="4"/>
        <v>9</v>
      </c>
    </row>
    <row r="301" spans="1:13" x14ac:dyDescent="0.3">
      <c r="A301" s="49" t="s">
        <v>569</v>
      </c>
      <c r="B301" s="49" t="s">
        <v>89</v>
      </c>
      <c r="C301" s="50">
        <v>67189</v>
      </c>
      <c r="D301" s="51">
        <v>106609</v>
      </c>
      <c r="E301" s="52">
        <v>9702891217</v>
      </c>
      <c r="F301" s="43" t="s">
        <v>98</v>
      </c>
      <c r="G301" s="53">
        <v>57934</v>
      </c>
      <c r="H301" s="54" t="s">
        <v>70</v>
      </c>
      <c r="I301" s="54" t="s">
        <v>483</v>
      </c>
      <c r="J301" s="55" t="s">
        <v>88</v>
      </c>
      <c r="K301" s="54" t="s">
        <v>89</v>
      </c>
      <c r="L301" s="56">
        <f>37273+(6*364)</f>
        <v>39457</v>
      </c>
      <c r="M301" s="43">
        <f t="shared" ca="1" si="4"/>
        <v>17</v>
      </c>
    </row>
    <row r="302" spans="1:13" x14ac:dyDescent="0.3">
      <c r="A302" s="49" t="s">
        <v>571</v>
      </c>
      <c r="B302" s="49" t="s">
        <v>89</v>
      </c>
      <c r="C302" s="50">
        <v>82620</v>
      </c>
      <c r="D302" s="51">
        <v>118067</v>
      </c>
      <c r="E302" s="52">
        <v>7192344526</v>
      </c>
      <c r="F302" s="43" t="s">
        <v>75</v>
      </c>
      <c r="G302" s="53">
        <v>76162</v>
      </c>
      <c r="H302" s="54" t="s">
        <v>70</v>
      </c>
      <c r="I302" s="54" t="s">
        <v>104</v>
      </c>
      <c r="J302" s="55" t="s">
        <v>88</v>
      </c>
      <c r="K302" s="54" t="s">
        <v>89</v>
      </c>
      <c r="L302" s="56">
        <f>35645+(6*364)</f>
        <v>37829</v>
      </c>
      <c r="M302" s="43">
        <f t="shared" ca="1" si="4"/>
        <v>22</v>
      </c>
    </row>
    <row r="303" spans="1:13" x14ac:dyDescent="0.3">
      <c r="A303" s="49" t="s">
        <v>573</v>
      </c>
      <c r="B303" s="49" t="s">
        <v>89</v>
      </c>
      <c r="C303" s="50">
        <v>61596</v>
      </c>
      <c r="D303" s="51">
        <v>102257</v>
      </c>
      <c r="E303" s="52">
        <v>9707726916</v>
      </c>
      <c r="F303" s="43" t="s">
        <v>98</v>
      </c>
      <c r="G303" s="53">
        <v>45328</v>
      </c>
      <c r="H303" s="54" t="s">
        <v>70</v>
      </c>
      <c r="I303" s="54" t="s">
        <v>566</v>
      </c>
      <c r="J303" s="55" t="s">
        <v>100</v>
      </c>
      <c r="K303" s="54" t="s">
        <v>93</v>
      </c>
      <c r="L303" s="56">
        <f>37623+(6*364)</f>
        <v>39807</v>
      </c>
      <c r="M303" s="43">
        <f t="shared" ca="1" si="4"/>
        <v>16</v>
      </c>
    </row>
    <row r="304" spans="1:13" x14ac:dyDescent="0.3">
      <c r="A304" s="49" t="s">
        <v>574</v>
      </c>
      <c r="B304" s="49" t="s">
        <v>89</v>
      </c>
      <c r="C304" s="50">
        <v>40103</v>
      </c>
      <c r="D304" s="51">
        <v>65876</v>
      </c>
      <c r="E304" s="52">
        <v>5058033253</v>
      </c>
      <c r="F304" s="43" t="s">
        <v>75</v>
      </c>
      <c r="G304" s="53">
        <v>60087</v>
      </c>
      <c r="H304" s="54" t="s">
        <v>76</v>
      </c>
      <c r="I304" s="54" t="s">
        <v>485</v>
      </c>
      <c r="J304" s="55" t="s">
        <v>88</v>
      </c>
      <c r="K304" s="54" t="s">
        <v>158</v>
      </c>
      <c r="L304" s="56">
        <f>39037+(6*364)</f>
        <v>41221</v>
      </c>
      <c r="M304" s="43">
        <f t="shared" ca="1" si="4"/>
        <v>13</v>
      </c>
    </row>
    <row r="305" spans="1:13" x14ac:dyDescent="0.3">
      <c r="A305" s="49" t="s">
        <v>575</v>
      </c>
      <c r="B305" s="49" t="s">
        <v>89</v>
      </c>
      <c r="C305" s="50">
        <v>18019</v>
      </c>
      <c r="D305" s="51">
        <v>92959</v>
      </c>
      <c r="E305" s="52">
        <v>3033184277</v>
      </c>
      <c r="F305" s="43" t="s">
        <v>98</v>
      </c>
      <c r="G305" s="53">
        <v>84225</v>
      </c>
      <c r="H305" s="54" t="s">
        <v>70</v>
      </c>
      <c r="I305" s="54" t="s">
        <v>487</v>
      </c>
      <c r="J305" s="55" t="s">
        <v>100</v>
      </c>
      <c r="K305" s="54" t="s">
        <v>79</v>
      </c>
      <c r="L305" s="56">
        <f>38767+(6*364)</f>
        <v>40951</v>
      </c>
      <c r="M305" s="43">
        <f t="shared" ca="1" si="4"/>
        <v>13</v>
      </c>
    </row>
    <row r="306" spans="1:13" x14ac:dyDescent="0.3">
      <c r="A306" s="49" t="s">
        <v>577</v>
      </c>
      <c r="B306" s="49" t="s">
        <v>89</v>
      </c>
      <c r="C306" s="50">
        <v>88922</v>
      </c>
      <c r="D306" s="51">
        <v>123520</v>
      </c>
      <c r="E306" s="52">
        <v>3038842613</v>
      </c>
      <c r="F306" s="43"/>
      <c r="G306" s="53">
        <v>31462</v>
      </c>
      <c r="H306" s="54" t="s">
        <v>86</v>
      </c>
      <c r="I306" s="54" t="s">
        <v>570</v>
      </c>
      <c r="J306" s="55" t="s">
        <v>78</v>
      </c>
      <c r="K306" s="54" t="s">
        <v>136</v>
      </c>
      <c r="L306" s="56">
        <f>38543+(6*364)</f>
        <v>40727</v>
      </c>
      <c r="M306" s="43">
        <f t="shared" ca="1" si="4"/>
        <v>14</v>
      </c>
    </row>
    <row r="307" spans="1:13" x14ac:dyDescent="0.3">
      <c r="A307" s="49" t="s">
        <v>604</v>
      </c>
      <c r="B307" s="49" t="s">
        <v>89</v>
      </c>
      <c r="C307" s="50">
        <v>34019</v>
      </c>
      <c r="D307" s="51">
        <v>79366</v>
      </c>
      <c r="E307" s="52">
        <v>9706500529</v>
      </c>
      <c r="F307" s="43" t="s">
        <v>81</v>
      </c>
      <c r="G307" s="53">
        <v>93587</v>
      </c>
      <c r="H307" s="54" t="s">
        <v>70</v>
      </c>
      <c r="I307" s="54" t="s">
        <v>572</v>
      </c>
      <c r="J307" s="55" t="s">
        <v>72</v>
      </c>
      <c r="K307" s="54" t="s">
        <v>79</v>
      </c>
      <c r="L307" s="56">
        <f>35068+(6*364)</f>
        <v>37252</v>
      </c>
      <c r="M307" s="43">
        <f t="shared" ca="1" si="4"/>
        <v>23</v>
      </c>
    </row>
    <row r="308" spans="1:13" x14ac:dyDescent="0.3">
      <c r="A308" s="49" t="s">
        <v>605</v>
      </c>
      <c r="B308" s="49" t="s">
        <v>89</v>
      </c>
      <c r="C308" s="50">
        <v>97603</v>
      </c>
      <c r="D308" s="51">
        <v>78712</v>
      </c>
      <c r="E308" s="52">
        <v>3031952821</v>
      </c>
      <c r="F308" s="43" t="s">
        <v>91</v>
      </c>
      <c r="G308" s="53">
        <v>36186</v>
      </c>
      <c r="H308" s="54" t="s">
        <v>70</v>
      </c>
      <c r="I308" s="54" t="s">
        <v>488</v>
      </c>
      <c r="J308" s="55" t="s">
        <v>72</v>
      </c>
      <c r="K308" s="54" t="s">
        <v>89</v>
      </c>
      <c r="L308" s="56">
        <f>37856+(6*364)</f>
        <v>40040</v>
      </c>
      <c r="M308" s="43">
        <f t="shared" ca="1" si="4"/>
        <v>16</v>
      </c>
    </row>
    <row r="309" spans="1:13" x14ac:dyDescent="0.3">
      <c r="A309" s="49" t="s">
        <v>607</v>
      </c>
      <c r="B309" s="49" t="s">
        <v>89</v>
      </c>
      <c r="C309" s="50">
        <v>15496</v>
      </c>
      <c r="D309" s="51">
        <v>135904</v>
      </c>
      <c r="E309" s="52">
        <v>5055627374</v>
      </c>
      <c r="F309" s="43"/>
      <c r="G309" s="53">
        <v>94760</v>
      </c>
      <c r="H309" s="54" t="s">
        <v>86</v>
      </c>
      <c r="I309" s="54" t="s">
        <v>321</v>
      </c>
      <c r="J309" s="55" t="s">
        <v>88</v>
      </c>
      <c r="K309" s="54" t="s">
        <v>172</v>
      </c>
      <c r="L309" s="56">
        <f>37730+(6*364)</f>
        <v>39914</v>
      </c>
      <c r="M309" s="43">
        <f t="shared" ca="1" si="4"/>
        <v>16</v>
      </c>
    </row>
    <row r="310" spans="1:13" x14ac:dyDescent="0.3">
      <c r="A310" s="49" t="s">
        <v>609</v>
      </c>
      <c r="B310" s="49" t="s">
        <v>89</v>
      </c>
      <c r="C310" s="50">
        <v>83949</v>
      </c>
      <c r="D310" s="51">
        <v>61683</v>
      </c>
      <c r="E310" s="52">
        <v>7198611970</v>
      </c>
      <c r="F310" s="43" t="s">
        <v>69</v>
      </c>
      <c r="G310" s="53">
        <v>107231</v>
      </c>
      <c r="H310" s="54" t="s">
        <v>76</v>
      </c>
      <c r="I310" s="54" t="s">
        <v>576</v>
      </c>
      <c r="J310" s="55" t="s">
        <v>100</v>
      </c>
      <c r="K310" s="54" t="s">
        <v>89</v>
      </c>
      <c r="L310" s="56">
        <f>37725+(6*364)</f>
        <v>39909</v>
      </c>
      <c r="M310" s="43">
        <f t="shared" ca="1" si="4"/>
        <v>16</v>
      </c>
    </row>
    <row r="311" spans="1:13" x14ac:dyDescent="0.3">
      <c r="A311" s="49" t="s">
        <v>26</v>
      </c>
      <c r="B311" s="49" t="s">
        <v>89</v>
      </c>
      <c r="C311" s="50">
        <v>64364</v>
      </c>
      <c r="D311" s="51">
        <v>63701</v>
      </c>
      <c r="E311" s="52">
        <v>3035990139</v>
      </c>
      <c r="F311" s="43"/>
      <c r="G311" s="53">
        <v>65245</v>
      </c>
      <c r="H311" s="54" t="s">
        <v>86</v>
      </c>
      <c r="I311" s="54" t="s">
        <v>578</v>
      </c>
      <c r="J311" s="55" t="s">
        <v>83</v>
      </c>
      <c r="K311" s="54" t="s">
        <v>158</v>
      </c>
      <c r="L311" s="56">
        <f>37411+(6*364)</f>
        <v>39595</v>
      </c>
      <c r="M311" s="43">
        <f t="shared" ca="1" si="4"/>
        <v>17</v>
      </c>
    </row>
    <row r="312" spans="1:13" x14ac:dyDescent="0.3">
      <c r="A312" s="49" t="s">
        <v>612</v>
      </c>
      <c r="B312" s="49" t="s">
        <v>89</v>
      </c>
      <c r="C312" s="50">
        <v>68860</v>
      </c>
      <c r="D312" s="51">
        <v>70386</v>
      </c>
      <c r="E312" s="52">
        <v>7192053579</v>
      </c>
      <c r="F312" s="43"/>
      <c r="G312" s="53">
        <v>94265</v>
      </c>
      <c r="H312" s="54" t="s">
        <v>86</v>
      </c>
      <c r="I312" s="54" t="s">
        <v>580</v>
      </c>
      <c r="J312" s="55" t="s">
        <v>88</v>
      </c>
      <c r="K312" s="54" t="s">
        <v>89</v>
      </c>
      <c r="L312" s="56">
        <f>38427+(6*364)</f>
        <v>40611</v>
      </c>
      <c r="M312" s="43">
        <f t="shared" ca="1" si="4"/>
        <v>14</v>
      </c>
    </row>
    <row r="313" spans="1:13" x14ac:dyDescent="0.3">
      <c r="A313" s="49" t="s">
        <v>614</v>
      </c>
      <c r="B313" s="49" t="s">
        <v>89</v>
      </c>
      <c r="C313" s="50">
        <v>87503</v>
      </c>
      <c r="D313" s="51">
        <v>71026</v>
      </c>
      <c r="E313" s="52">
        <v>9708467597</v>
      </c>
      <c r="F313" s="43"/>
      <c r="G313" s="53">
        <v>27707</v>
      </c>
      <c r="H313" s="54" t="s">
        <v>86</v>
      </c>
      <c r="I313" s="54" t="s">
        <v>581</v>
      </c>
      <c r="J313" s="55" t="s">
        <v>78</v>
      </c>
      <c r="K313" s="54" t="s">
        <v>103</v>
      </c>
      <c r="L313" s="56">
        <f>35560+(6*364)</f>
        <v>37744</v>
      </c>
      <c r="M313" s="43">
        <f t="shared" ca="1" si="4"/>
        <v>22</v>
      </c>
    </row>
    <row r="314" spans="1:13" x14ac:dyDescent="0.3">
      <c r="A314" s="49" t="s">
        <v>615</v>
      </c>
      <c r="B314" s="49" t="s">
        <v>89</v>
      </c>
      <c r="C314" s="50">
        <v>61116</v>
      </c>
      <c r="D314" s="51">
        <v>75655</v>
      </c>
      <c r="E314" s="52">
        <v>3037710498</v>
      </c>
      <c r="F314" s="43" t="s">
        <v>75</v>
      </c>
      <c r="G314" s="53">
        <v>50821</v>
      </c>
      <c r="H314" s="54" t="s">
        <v>70</v>
      </c>
      <c r="I314" s="54" t="s">
        <v>583</v>
      </c>
      <c r="J314" s="55" t="s">
        <v>100</v>
      </c>
      <c r="K314" s="54" t="s">
        <v>89</v>
      </c>
      <c r="L314" s="56">
        <f>39250+(6*364)</f>
        <v>41434</v>
      </c>
      <c r="M314" s="43">
        <f t="shared" ca="1" si="4"/>
        <v>12</v>
      </c>
    </row>
    <row r="315" spans="1:13" x14ac:dyDescent="0.3">
      <c r="A315" s="49" t="s">
        <v>616</v>
      </c>
      <c r="B315" s="49" t="s">
        <v>89</v>
      </c>
      <c r="C315" s="50">
        <v>26494</v>
      </c>
      <c r="D315" s="51">
        <v>89727</v>
      </c>
      <c r="E315" s="52">
        <v>3035299873</v>
      </c>
      <c r="F315" s="43" t="s">
        <v>69</v>
      </c>
      <c r="G315" s="53">
        <v>117196</v>
      </c>
      <c r="H315" s="54" t="s">
        <v>70</v>
      </c>
      <c r="I315" s="54" t="s">
        <v>585</v>
      </c>
      <c r="J315" s="55" t="s">
        <v>88</v>
      </c>
      <c r="K315" s="54" t="s">
        <v>172</v>
      </c>
      <c r="L315" s="56">
        <f>36269+(6*364)</f>
        <v>38453</v>
      </c>
      <c r="M315" s="43">
        <f t="shared" ca="1" si="4"/>
        <v>20</v>
      </c>
    </row>
    <row r="316" spans="1:13" x14ac:dyDescent="0.3">
      <c r="A316" s="49" t="s">
        <v>479</v>
      </c>
      <c r="B316" s="49" t="s">
        <v>175</v>
      </c>
      <c r="C316" s="50">
        <v>42014</v>
      </c>
      <c r="D316" s="51">
        <v>63605</v>
      </c>
      <c r="E316" s="52">
        <v>3031591006</v>
      </c>
      <c r="F316" s="43"/>
      <c r="G316" s="53">
        <v>68475</v>
      </c>
      <c r="H316" s="54" t="s">
        <v>108</v>
      </c>
      <c r="I316" s="54" t="s">
        <v>587</v>
      </c>
      <c r="J316" s="55" t="s">
        <v>88</v>
      </c>
      <c r="K316" s="54" t="s">
        <v>172</v>
      </c>
      <c r="L316" s="56">
        <f>35952+(6*364)</f>
        <v>38136</v>
      </c>
      <c r="M316" s="43">
        <f t="shared" ca="1" si="4"/>
        <v>21</v>
      </c>
    </row>
    <row r="317" spans="1:13" x14ac:dyDescent="0.3">
      <c r="A317" s="49" t="s">
        <v>499</v>
      </c>
      <c r="B317" s="49" t="s">
        <v>175</v>
      </c>
      <c r="C317" s="50">
        <v>20899</v>
      </c>
      <c r="D317" s="51">
        <v>115035</v>
      </c>
      <c r="E317" s="52">
        <v>5051919478</v>
      </c>
      <c r="F317" s="43" t="s">
        <v>69</v>
      </c>
      <c r="G317" s="53">
        <v>66151</v>
      </c>
      <c r="H317" s="54" t="s">
        <v>76</v>
      </c>
      <c r="I317" s="54" t="s">
        <v>589</v>
      </c>
      <c r="J317" s="55" t="s">
        <v>88</v>
      </c>
      <c r="K317" s="54" t="s">
        <v>131</v>
      </c>
      <c r="L317" s="56">
        <f>40321+(6*364)</f>
        <v>42505</v>
      </c>
      <c r="M317" s="43">
        <f t="shared" ca="1" si="4"/>
        <v>9</v>
      </c>
    </row>
    <row r="318" spans="1:13" x14ac:dyDescent="0.3">
      <c r="A318" s="49" t="s">
        <v>581</v>
      </c>
      <c r="B318" s="49" t="s">
        <v>175</v>
      </c>
      <c r="C318" s="50">
        <v>16997</v>
      </c>
      <c r="D318" s="51">
        <v>92681</v>
      </c>
      <c r="E318" s="52">
        <v>5051449596</v>
      </c>
      <c r="F318" s="43"/>
      <c r="G318" s="53">
        <v>96457</v>
      </c>
      <c r="H318" s="54" t="s">
        <v>86</v>
      </c>
      <c r="I318" s="54" t="s">
        <v>591</v>
      </c>
      <c r="J318" s="55" t="s">
        <v>72</v>
      </c>
      <c r="K318" s="54" t="s">
        <v>136</v>
      </c>
      <c r="L318" s="56">
        <f>36225+(6*364)</f>
        <v>38409</v>
      </c>
      <c r="M318" s="43">
        <f t="shared" ca="1" si="4"/>
        <v>20</v>
      </c>
    </row>
    <row r="319" spans="1:13" x14ac:dyDescent="0.3">
      <c r="A319" s="49" t="s">
        <v>619</v>
      </c>
      <c r="B319" s="49" t="s">
        <v>175</v>
      </c>
      <c r="C319" s="50">
        <v>57149</v>
      </c>
      <c r="D319" s="51">
        <v>85011</v>
      </c>
      <c r="E319" s="52">
        <v>3035882405</v>
      </c>
      <c r="F319" s="43" t="s">
        <v>98</v>
      </c>
      <c r="G319" s="53">
        <v>121794</v>
      </c>
      <c r="H319" s="54" t="s">
        <v>70</v>
      </c>
      <c r="I319" s="54" t="s">
        <v>593</v>
      </c>
      <c r="J319" s="55" t="s">
        <v>78</v>
      </c>
      <c r="K319" s="54" t="s">
        <v>136</v>
      </c>
      <c r="L319" s="56">
        <f>42030+(6*364)</f>
        <v>44214</v>
      </c>
      <c r="M319" s="43">
        <f t="shared" ca="1" si="4"/>
        <v>4</v>
      </c>
    </row>
    <row r="320" spans="1:13" x14ac:dyDescent="0.3">
      <c r="A320" s="49" t="s">
        <v>620</v>
      </c>
      <c r="B320" s="49" t="s">
        <v>175</v>
      </c>
      <c r="C320" s="50">
        <v>52431</v>
      </c>
      <c r="D320" s="51">
        <v>110523</v>
      </c>
      <c r="E320" s="52">
        <v>5058314799</v>
      </c>
      <c r="F320" s="43" t="s">
        <v>98</v>
      </c>
      <c r="G320" s="53">
        <v>56009</v>
      </c>
      <c r="H320" s="54" t="s">
        <v>70</v>
      </c>
      <c r="I320" s="54" t="s">
        <v>303</v>
      </c>
      <c r="J320" s="55" t="s">
        <v>88</v>
      </c>
      <c r="K320" s="54" t="s">
        <v>84</v>
      </c>
      <c r="L320" s="56">
        <f>39090+(6*364)</f>
        <v>41274</v>
      </c>
      <c r="M320" s="43">
        <f t="shared" ca="1" si="4"/>
        <v>12</v>
      </c>
    </row>
    <row r="321" spans="1:13" x14ac:dyDescent="0.3">
      <c r="A321" s="49" t="s">
        <v>621</v>
      </c>
      <c r="B321" s="49" t="s">
        <v>175</v>
      </c>
      <c r="C321" s="50">
        <v>15075</v>
      </c>
      <c r="D321" s="51">
        <v>96684</v>
      </c>
      <c r="E321" s="52">
        <v>9705119214</v>
      </c>
      <c r="F321" s="43" t="s">
        <v>91</v>
      </c>
      <c r="G321" s="53">
        <v>81371</v>
      </c>
      <c r="H321" s="54" t="s">
        <v>70</v>
      </c>
      <c r="I321" s="54" t="s">
        <v>490</v>
      </c>
      <c r="J321" s="55" t="s">
        <v>72</v>
      </c>
      <c r="K321" s="54" t="s">
        <v>79</v>
      </c>
      <c r="L321" s="56">
        <f>38596+(6*364)</f>
        <v>40780</v>
      </c>
      <c r="M321" s="43">
        <f t="shared" ca="1" si="4"/>
        <v>14</v>
      </c>
    </row>
    <row r="322" spans="1:13" x14ac:dyDescent="0.3">
      <c r="A322" s="49" t="s">
        <v>623</v>
      </c>
      <c r="B322" s="49" t="s">
        <v>175</v>
      </c>
      <c r="C322" s="50">
        <v>60524</v>
      </c>
      <c r="D322" s="51">
        <v>61139</v>
      </c>
      <c r="E322" s="52">
        <v>9701617913</v>
      </c>
      <c r="F322" s="43" t="s">
        <v>75</v>
      </c>
      <c r="G322" s="53">
        <v>94119</v>
      </c>
      <c r="H322" s="54" t="s">
        <v>70</v>
      </c>
      <c r="I322" s="54" t="s">
        <v>597</v>
      </c>
      <c r="J322" s="55" t="s">
        <v>83</v>
      </c>
      <c r="K322" s="54" t="s">
        <v>204</v>
      </c>
      <c r="L322" s="56">
        <f>35103+(6*364)</f>
        <v>37287</v>
      </c>
      <c r="M322" s="43">
        <f t="shared" ref="M322:M385" ca="1" si="5">DATEDIF(L322,TODAY(),"Y")</f>
        <v>23</v>
      </c>
    </row>
    <row r="323" spans="1:13" x14ac:dyDescent="0.3">
      <c r="A323" s="49" t="s">
        <v>113</v>
      </c>
      <c r="B323" s="49" t="s">
        <v>84</v>
      </c>
      <c r="C323" s="50">
        <v>48075</v>
      </c>
      <c r="D323" s="51">
        <v>69893</v>
      </c>
      <c r="E323" s="52">
        <v>9703040292</v>
      </c>
      <c r="F323" s="43"/>
      <c r="G323" s="53">
        <v>57174</v>
      </c>
      <c r="H323" s="54" t="s">
        <v>86</v>
      </c>
      <c r="I323" s="54" t="s">
        <v>599</v>
      </c>
      <c r="J323" s="55" t="s">
        <v>100</v>
      </c>
      <c r="K323" s="54" t="s">
        <v>89</v>
      </c>
      <c r="L323" s="56">
        <f>35955+(6*364)</f>
        <v>38139</v>
      </c>
      <c r="M323" s="43">
        <f t="shared" ca="1" si="5"/>
        <v>21</v>
      </c>
    </row>
    <row r="324" spans="1:13" x14ac:dyDescent="0.3">
      <c r="A324" s="49" t="s">
        <v>141</v>
      </c>
      <c r="B324" s="49" t="s">
        <v>84</v>
      </c>
      <c r="C324" s="50">
        <v>75991</v>
      </c>
      <c r="D324" s="51">
        <v>97921</v>
      </c>
      <c r="E324" s="52">
        <v>3034999647</v>
      </c>
      <c r="F324" s="43"/>
      <c r="G324" s="53">
        <v>88731</v>
      </c>
      <c r="H324" s="54" t="s">
        <v>86</v>
      </c>
      <c r="I324" s="54" t="s">
        <v>601</v>
      </c>
      <c r="J324" s="55" t="s">
        <v>153</v>
      </c>
      <c r="K324" s="54" t="s">
        <v>79</v>
      </c>
      <c r="L324" s="56">
        <f>38167+(6*364)</f>
        <v>40351</v>
      </c>
      <c r="M324" s="43">
        <f t="shared" ca="1" si="5"/>
        <v>15</v>
      </c>
    </row>
    <row r="325" spans="1:13" x14ac:dyDescent="0.3">
      <c r="A325" s="49" t="s">
        <v>143</v>
      </c>
      <c r="B325" s="49" t="s">
        <v>84</v>
      </c>
      <c r="C325" s="50">
        <v>95890</v>
      </c>
      <c r="D325" s="51">
        <v>82083</v>
      </c>
      <c r="E325" s="52">
        <v>9704518022</v>
      </c>
      <c r="F325" s="43"/>
      <c r="G325" s="53">
        <v>38249</v>
      </c>
      <c r="H325" s="54" t="s">
        <v>86</v>
      </c>
      <c r="I325" s="54" t="s">
        <v>603</v>
      </c>
      <c r="J325" s="55" t="s">
        <v>72</v>
      </c>
      <c r="K325" s="54" t="s">
        <v>355</v>
      </c>
      <c r="L325" s="56">
        <f>39429+(6*364)</f>
        <v>41613</v>
      </c>
      <c r="M325" s="43">
        <f t="shared" ca="1" si="5"/>
        <v>12</v>
      </c>
    </row>
    <row r="326" spans="1:13" x14ac:dyDescent="0.3">
      <c r="A326" s="49" t="s">
        <v>174</v>
      </c>
      <c r="B326" s="49" t="s">
        <v>84</v>
      </c>
      <c r="C326" s="50">
        <v>35668</v>
      </c>
      <c r="D326" s="51">
        <v>30230</v>
      </c>
      <c r="E326" s="52">
        <v>3031628807</v>
      </c>
      <c r="F326" s="43" t="s">
        <v>98</v>
      </c>
      <c r="G326" s="53">
        <v>43662</v>
      </c>
      <c r="H326" s="54" t="s">
        <v>70</v>
      </c>
      <c r="I326" s="54" t="s">
        <v>367</v>
      </c>
      <c r="J326" s="55" t="s">
        <v>83</v>
      </c>
      <c r="K326" s="54" t="s">
        <v>95</v>
      </c>
      <c r="L326" s="56">
        <f>38688+(6*364)</f>
        <v>40872</v>
      </c>
      <c r="M326" s="43">
        <f t="shared" ca="1" si="5"/>
        <v>14</v>
      </c>
    </row>
    <row r="327" spans="1:13" x14ac:dyDescent="0.3">
      <c r="A327" s="49" t="s">
        <v>253</v>
      </c>
      <c r="B327" s="49" t="s">
        <v>84</v>
      </c>
      <c r="C327" s="50">
        <v>23801</v>
      </c>
      <c r="D327" s="51">
        <v>51643</v>
      </c>
      <c r="E327" s="52">
        <v>9706049607</v>
      </c>
      <c r="F327" s="43" t="s">
        <v>91</v>
      </c>
      <c r="G327" s="53">
        <v>51413</v>
      </c>
      <c r="H327" s="54" t="s">
        <v>70</v>
      </c>
      <c r="I327" s="54" t="s">
        <v>606</v>
      </c>
      <c r="J327" s="55" t="s">
        <v>72</v>
      </c>
      <c r="K327" s="54" t="s">
        <v>103</v>
      </c>
      <c r="L327" s="56">
        <f>40068+(6*364)</f>
        <v>42252</v>
      </c>
      <c r="M327" s="43">
        <f t="shared" ca="1" si="5"/>
        <v>10</v>
      </c>
    </row>
    <row r="328" spans="1:13" x14ac:dyDescent="0.3">
      <c r="A328" s="49" t="s">
        <v>269</v>
      </c>
      <c r="B328" s="49" t="s">
        <v>84</v>
      </c>
      <c r="C328" s="50">
        <v>64418</v>
      </c>
      <c r="D328" s="51">
        <v>133400</v>
      </c>
      <c r="E328" s="52">
        <v>5054627771</v>
      </c>
      <c r="F328" s="43" t="s">
        <v>75</v>
      </c>
      <c r="G328" s="53">
        <v>75027</v>
      </c>
      <c r="H328" s="54" t="s">
        <v>70</v>
      </c>
      <c r="I328" s="54" t="s">
        <v>608</v>
      </c>
      <c r="J328" s="55" t="s">
        <v>88</v>
      </c>
      <c r="K328" s="54" t="s">
        <v>89</v>
      </c>
      <c r="L328" s="56">
        <f>36349+(6*364)</f>
        <v>38533</v>
      </c>
      <c r="M328" s="43">
        <f t="shared" ca="1" si="5"/>
        <v>20</v>
      </c>
    </row>
    <row r="329" spans="1:13" x14ac:dyDescent="0.3">
      <c r="A329" s="49" t="s">
        <v>628</v>
      </c>
      <c r="B329" s="49" t="s">
        <v>84</v>
      </c>
      <c r="C329" s="50">
        <v>31776</v>
      </c>
      <c r="D329" s="51">
        <v>94748</v>
      </c>
      <c r="E329" s="52">
        <v>5053173691</v>
      </c>
      <c r="F329" s="43" t="s">
        <v>98</v>
      </c>
      <c r="G329" s="53">
        <v>57809</v>
      </c>
      <c r="H329" s="54" t="s">
        <v>70</v>
      </c>
      <c r="I329" s="54" t="s">
        <v>610</v>
      </c>
      <c r="J329" s="55" t="s">
        <v>72</v>
      </c>
      <c r="K329" s="54" t="s">
        <v>84</v>
      </c>
      <c r="L329" s="56">
        <f>37606+(6*364)</f>
        <v>39790</v>
      </c>
      <c r="M329" s="43">
        <f t="shared" ca="1" si="5"/>
        <v>17</v>
      </c>
    </row>
    <row r="330" spans="1:13" x14ac:dyDescent="0.3">
      <c r="A330" s="49" t="s">
        <v>343</v>
      </c>
      <c r="B330" s="49" t="s">
        <v>84</v>
      </c>
      <c r="C330" s="50">
        <v>17543</v>
      </c>
      <c r="D330" s="51">
        <v>82466</v>
      </c>
      <c r="E330" s="52">
        <v>3034589262</v>
      </c>
      <c r="F330" s="43"/>
      <c r="G330" s="53">
        <v>88360</v>
      </c>
      <c r="H330" s="54" t="s">
        <v>108</v>
      </c>
      <c r="I330" s="54" t="s">
        <v>611</v>
      </c>
      <c r="J330" s="55" t="s">
        <v>72</v>
      </c>
      <c r="K330" s="54" t="s">
        <v>93</v>
      </c>
      <c r="L330" s="56">
        <f>39625+(6*364)</f>
        <v>41809</v>
      </c>
      <c r="M330" s="43">
        <f t="shared" ca="1" si="5"/>
        <v>11</v>
      </c>
    </row>
    <row r="331" spans="1:13" x14ac:dyDescent="0.3">
      <c r="A331" s="49" t="s">
        <v>395</v>
      </c>
      <c r="B331" s="49" t="s">
        <v>84</v>
      </c>
      <c r="C331" s="50">
        <v>18958</v>
      </c>
      <c r="D331" s="51">
        <v>114205</v>
      </c>
      <c r="E331" s="52">
        <v>5052911046</v>
      </c>
      <c r="F331" s="43" t="s">
        <v>98</v>
      </c>
      <c r="G331" s="53">
        <v>76963</v>
      </c>
      <c r="H331" s="54" t="s">
        <v>70</v>
      </c>
      <c r="I331" s="54" t="s">
        <v>613</v>
      </c>
      <c r="J331" s="55" t="s">
        <v>72</v>
      </c>
      <c r="K331" s="54" t="s">
        <v>158</v>
      </c>
      <c r="L331" s="56">
        <f>35747+(6*364)</f>
        <v>37931</v>
      </c>
      <c r="M331" s="43">
        <f t="shared" ca="1" si="5"/>
        <v>22</v>
      </c>
    </row>
    <row r="332" spans="1:13" x14ac:dyDescent="0.3">
      <c r="A332" s="49" t="s">
        <v>466</v>
      </c>
      <c r="B332" s="49" t="s">
        <v>84</v>
      </c>
      <c r="C332" s="50">
        <v>61246</v>
      </c>
      <c r="D332" s="51">
        <v>104004</v>
      </c>
      <c r="E332" s="52">
        <v>5057173558</v>
      </c>
      <c r="F332" s="43"/>
      <c r="G332" s="53">
        <v>42576</v>
      </c>
      <c r="H332" s="54" t="s">
        <v>86</v>
      </c>
      <c r="I332" s="54" t="s">
        <v>216</v>
      </c>
      <c r="J332" s="55" t="s">
        <v>72</v>
      </c>
      <c r="K332" s="54" t="s">
        <v>103</v>
      </c>
      <c r="L332" s="56">
        <f>35381+(6*364)</f>
        <v>37565</v>
      </c>
      <c r="M332" s="43">
        <f t="shared" ca="1" si="5"/>
        <v>23</v>
      </c>
    </row>
    <row r="333" spans="1:13" x14ac:dyDescent="0.3">
      <c r="A333" s="49" t="s">
        <v>517</v>
      </c>
      <c r="B333" s="49" t="s">
        <v>84</v>
      </c>
      <c r="C333" s="50">
        <v>88074</v>
      </c>
      <c r="D333" s="51">
        <v>125848</v>
      </c>
      <c r="E333" s="52">
        <v>5053557946</v>
      </c>
      <c r="F333" s="43" t="s">
        <v>91</v>
      </c>
      <c r="G333" s="53">
        <v>77790</v>
      </c>
      <c r="H333" s="54" t="s">
        <v>70</v>
      </c>
      <c r="I333" s="54" t="s">
        <v>492</v>
      </c>
      <c r="J333" s="55" t="s">
        <v>78</v>
      </c>
      <c r="K333" s="54" t="s">
        <v>106</v>
      </c>
      <c r="L333" s="56">
        <f>42216+(6*364)</f>
        <v>44400</v>
      </c>
      <c r="M333" s="43">
        <f t="shared" ca="1" si="5"/>
        <v>4</v>
      </c>
    </row>
    <row r="334" spans="1:13" x14ac:dyDescent="0.3">
      <c r="A334" s="49" t="s">
        <v>536</v>
      </c>
      <c r="B334" s="49" t="s">
        <v>84</v>
      </c>
      <c r="C334" s="50">
        <v>53968</v>
      </c>
      <c r="D334" s="51">
        <v>109185</v>
      </c>
      <c r="E334" s="52">
        <v>7196969994</v>
      </c>
      <c r="F334" s="43" t="s">
        <v>91</v>
      </c>
      <c r="G334" s="53">
        <v>66578</v>
      </c>
      <c r="H334" s="54" t="s">
        <v>70</v>
      </c>
      <c r="I334" s="54" t="s">
        <v>218</v>
      </c>
      <c r="J334" s="55" t="s">
        <v>100</v>
      </c>
      <c r="K334" s="54" t="s">
        <v>84</v>
      </c>
      <c r="L334" s="56">
        <f>37206+(6*364)</f>
        <v>39390</v>
      </c>
      <c r="M334" s="43">
        <f t="shared" ca="1" si="5"/>
        <v>18</v>
      </c>
    </row>
    <row r="335" spans="1:13" x14ac:dyDescent="0.3">
      <c r="A335" s="49" t="s">
        <v>27</v>
      </c>
      <c r="B335" s="49" t="s">
        <v>84</v>
      </c>
      <c r="C335" s="50">
        <v>75288</v>
      </c>
      <c r="D335" s="51">
        <v>77634</v>
      </c>
      <c r="E335" s="52">
        <v>3036738901</v>
      </c>
      <c r="F335" s="43" t="s">
        <v>98</v>
      </c>
      <c r="G335" s="53">
        <v>122689</v>
      </c>
      <c r="H335" s="54" t="s">
        <v>70</v>
      </c>
      <c r="I335" s="54" t="s">
        <v>220</v>
      </c>
      <c r="J335" s="55" t="s">
        <v>72</v>
      </c>
      <c r="K335" s="54" t="s">
        <v>172</v>
      </c>
      <c r="L335" s="56">
        <f>35609+(6*364)</f>
        <v>37793</v>
      </c>
      <c r="M335" s="43">
        <f t="shared" ca="1" si="5"/>
        <v>22</v>
      </c>
    </row>
    <row r="336" spans="1:13" x14ac:dyDescent="0.3">
      <c r="A336" s="49" t="s">
        <v>570</v>
      </c>
      <c r="B336" s="49" t="s">
        <v>84</v>
      </c>
      <c r="C336" s="50">
        <v>42757</v>
      </c>
      <c r="D336" s="51">
        <v>90382</v>
      </c>
      <c r="E336" s="52">
        <v>5058413896</v>
      </c>
      <c r="F336" s="43" t="s">
        <v>75</v>
      </c>
      <c r="G336" s="53">
        <v>61670</v>
      </c>
      <c r="H336" s="54" t="s">
        <v>70</v>
      </c>
      <c r="I336" s="54" t="s">
        <v>617</v>
      </c>
      <c r="J336" s="55" t="s">
        <v>72</v>
      </c>
      <c r="K336" s="54" t="s">
        <v>89</v>
      </c>
      <c r="L336" s="56">
        <f>38901+(6*364)</f>
        <v>41085</v>
      </c>
      <c r="M336" s="43">
        <f t="shared" ca="1" si="5"/>
        <v>13</v>
      </c>
    </row>
    <row r="337" spans="1:13" x14ac:dyDescent="0.3">
      <c r="A337" s="49" t="s">
        <v>576</v>
      </c>
      <c r="B337" s="49" t="s">
        <v>84</v>
      </c>
      <c r="C337" s="50">
        <v>39811</v>
      </c>
      <c r="D337" s="51">
        <v>85011</v>
      </c>
      <c r="E337" s="52">
        <v>5052529195</v>
      </c>
      <c r="F337" s="43"/>
      <c r="G337" s="53">
        <v>39944</v>
      </c>
      <c r="H337" s="54" t="s">
        <v>86</v>
      </c>
      <c r="I337" s="54" t="s">
        <v>618</v>
      </c>
      <c r="J337" s="55" t="s">
        <v>72</v>
      </c>
      <c r="K337" s="54" t="s">
        <v>95</v>
      </c>
      <c r="L337" s="56">
        <f>35755+(6*364)</f>
        <v>37939</v>
      </c>
      <c r="M337" s="43">
        <f t="shared" ca="1" si="5"/>
        <v>22</v>
      </c>
    </row>
    <row r="338" spans="1:13" x14ac:dyDescent="0.3">
      <c r="A338" s="49" t="s">
        <v>622</v>
      </c>
      <c r="B338" s="49" t="s">
        <v>84</v>
      </c>
      <c r="C338" s="50">
        <v>21857</v>
      </c>
      <c r="D338" s="51">
        <v>125426</v>
      </c>
      <c r="E338" s="52">
        <v>3032354572</v>
      </c>
      <c r="F338" s="43" t="s">
        <v>98</v>
      </c>
      <c r="G338" s="53">
        <v>121666</v>
      </c>
      <c r="H338" s="54" t="s">
        <v>70</v>
      </c>
      <c r="I338" s="54" t="s">
        <v>325</v>
      </c>
      <c r="J338" s="55" t="s">
        <v>88</v>
      </c>
      <c r="K338" s="54" t="s">
        <v>73</v>
      </c>
      <c r="L338" s="56">
        <f>36695+(6*364)</f>
        <v>38879</v>
      </c>
      <c r="M338" s="43">
        <f t="shared" ca="1" si="5"/>
        <v>19</v>
      </c>
    </row>
    <row r="339" spans="1:13" x14ac:dyDescent="0.3">
      <c r="A339" s="49" t="s">
        <v>624</v>
      </c>
      <c r="B339" s="49" t="s">
        <v>84</v>
      </c>
      <c r="C339" s="50">
        <v>61412</v>
      </c>
      <c r="D339" s="51">
        <v>99536</v>
      </c>
      <c r="E339" s="52">
        <v>3036446519</v>
      </c>
      <c r="F339" s="43" t="s">
        <v>69</v>
      </c>
      <c r="G339" s="53">
        <v>92379</v>
      </c>
      <c r="H339" s="54" t="s">
        <v>76</v>
      </c>
      <c r="I339" s="54" t="s">
        <v>493</v>
      </c>
      <c r="J339" s="55" t="s">
        <v>72</v>
      </c>
      <c r="K339" s="54" t="s">
        <v>103</v>
      </c>
      <c r="L339" s="56">
        <f>35735+(6*364)</f>
        <v>37919</v>
      </c>
      <c r="M339" s="43">
        <f t="shared" ca="1" si="5"/>
        <v>22</v>
      </c>
    </row>
    <row r="340" spans="1:13" x14ac:dyDescent="0.3">
      <c r="A340" s="49" t="s">
        <v>639</v>
      </c>
      <c r="B340" s="49" t="s">
        <v>84</v>
      </c>
      <c r="C340" s="50">
        <v>28458</v>
      </c>
      <c r="D340" s="51">
        <v>120027</v>
      </c>
      <c r="E340" s="52">
        <v>5051267946</v>
      </c>
      <c r="F340" s="43" t="s">
        <v>75</v>
      </c>
      <c r="G340" s="53">
        <v>107062</v>
      </c>
      <c r="H340" s="54" t="s">
        <v>70</v>
      </c>
      <c r="I340" s="54" t="s">
        <v>622</v>
      </c>
      <c r="J340" s="55" t="s">
        <v>88</v>
      </c>
      <c r="K340" s="54" t="s">
        <v>79</v>
      </c>
      <c r="L340" s="56">
        <f>35881+(6*364)</f>
        <v>38065</v>
      </c>
      <c r="M340" s="43">
        <f t="shared" ca="1" si="5"/>
        <v>21</v>
      </c>
    </row>
    <row r="341" spans="1:13" x14ac:dyDescent="0.3">
      <c r="A341" s="49" t="s">
        <v>631</v>
      </c>
      <c r="B341" s="49" t="s">
        <v>84</v>
      </c>
      <c r="C341" s="50">
        <v>60911</v>
      </c>
      <c r="D341" s="51">
        <v>132979</v>
      </c>
      <c r="E341" s="52">
        <v>9702872439</v>
      </c>
      <c r="F341" s="43" t="s">
        <v>98</v>
      </c>
      <c r="G341" s="53">
        <v>93557</v>
      </c>
      <c r="H341" s="54" t="s">
        <v>108</v>
      </c>
      <c r="I341" s="54" t="s">
        <v>369</v>
      </c>
      <c r="J341" s="55" t="s">
        <v>88</v>
      </c>
      <c r="K341" s="54" t="s">
        <v>93</v>
      </c>
      <c r="L341" s="56">
        <f>37143+(6*364)</f>
        <v>39327</v>
      </c>
      <c r="M341" s="43">
        <f t="shared" ca="1" si="5"/>
        <v>18</v>
      </c>
    </row>
    <row r="342" spans="1:13" x14ac:dyDescent="0.3">
      <c r="A342" s="49" t="s">
        <v>637</v>
      </c>
      <c r="B342" s="49" t="s">
        <v>84</v>
      </c>
      <c r="C342" s="50">
        <v>72014</v>
      </c>
      <c r="D342" s="51">
        <v>126109</v>
      </c>
      <c r="E342" s="52">
        <v>9702474315</v>
      </c>
      <c r="F342" s="43" t="s">
        <v>91</v>
      </c>
      <c r="G342" s="53">
        <v>60613</v>
      </c>
      <c r="H342" s="54" t="s">
        <v>70</v>
      </c>
      <c r="I342" s="54" t="s">
        <v>494</v>
      </c>
      <c r="J342" s="55" t="s">
        <v>100</v>
      </c>
      <c r="K342" s="54" t="s">
        <v>84</v>
      </c>
      <c r="L342" s="56">
        <f>35689+(6*364)</f>
        <v>37873</v>
      </c>
      <c r="M342" s="43">
        <f t="shared" ca="1" si="5"/>
        <v>22</v>
      </c>
    </row>
    <row r="343" spans="1:13" x14ac:dyDescent="0.3">
      <c r="A343" s="49" t="s">
        <v>642</v>
      </c>
      <c r="B343" s="49" t="s">
        <v>84</v>
      </c>
      <c r="C343" s="50">
        <v>81219</v>
      </c>
      <c r="D343" s="51">
        <v>76302</v>
      </c>
      <c r="E343" s="52">
        <v>3034727385</v>
      </c>
      <c r="F343" s="43"/>
      <c r="G343" s="53">
        <v>28475</v>
      </c>
      <c r="H343" s="54" t="s">
        <v>86</v>
      </c>
      <c r="I343" s="54" t="s">
        <v>222</v>
      </c>
      <c r="J343" s="55" t="s">
        <v>72</v>
      </c>
      <c r="K343" s="54" t="s">
        <v>79</v>
      </c>
      <c r="L343" s="56">
        <f>42492+(6*364)</f>
        <v>44676</v>
      </c>
      <c r="M343" s="43">
        <f t="shared" ca="1" si="5"/>
        <v>3</v>
      </c>
    </row>
    <row r="344" spans="1:13" x14ac:dyDescent="0.3">
      <c r="A344" s="49" t="s">
        <v>643</v>
      </c>
      <c r="B344" s="49" t="s">
        <v>84</v>
      </c>
      <c r="C344" s="50">
        <v>84710</v>
      </c>
      <c r="D344" s="51">
        <v>79045</v>
      </c>
      <c r="E344" s="52">
        <v>5053883919</v>
      </c>
      <c r="F344" s="43" t="s">
        <v>98</v>
      </c>
      <c r="G344" s="53">
        <v>57206</v>
      </c>
      <c r="H344" s="54" t="s">
        <v>70</v>
      </c>
      <c r="I344" s="54" t="s">
        <v>624</v>
      </c>
      <c r="J344" s="55" t="s">
        <v>72</v>
      </c>
      <c r="K344" s="54" t="s">
        <v>89</v>
      </c>
      <c r="L344" s="56">
        <f>38642+(6*364)</f>
        <v>40826</v>
      </c>
      <c r="M344" s="43">
        <f t="shared" ca="1" si="5"/>
        <v>14</v>
      </c>
    </row>
    <row r="345" spans="1:13" x14ac:dyDescent="0.3">
      <c r="A345" s="49" t="s">
        <v>644</v>
      </c>
      <c r="B345" s="49" t="s">
        <v>84</v>
      </c>
      <c r="C345" s="50">
        <v>54450</v>
      </c>
      <c r="D345" s="51">
        <v>64698</v>
      </c>
      <c r="E345" s="52">
        <v>7196129939</v>
      </c>
      <c r="F345" s="43" t="s">
        <v>69</v>
      </c>
      <c r="G345" s="53">
        <v>52494</v>
      </c>
      <c r="H345" s="54" t="s">
        <v>70</v>
      </c>
      <c r="I345" s="54" t="s">
        <v>625</v>
      </c>
      <c r="J345" s="55" t="s">
        <v>78</v>
      </c>
      <c r="K345" s="54" t="s">
        <v>93</v>
      </c>
      <c r="L345" s="56">
        <f>36717+(6*364)</f>
        <v>38901</v>
      </c>
      <c r="M345" s="43">
        <f t="shared" ca="1" si="5"/>
        <v>19</v>
      </c>
    </row>
    <row r="346" spans="1:13" x14ac:dyDescent="0.3">
      <c r="A346" s="49" t="s">
        <v>646</v>
      </c>
      <c r="B346" s="49" t="s">
        <v>84</v>
      </c>
      <c r="C346" s="50">
        <v>22047</v>
      </c>
      <c r="D346" s="51">
        <v>75916</v>
      </c>
      <c r="E346" s="52">
        <v>3035459665</v>
      </c>
      <c r="F346" s="43" t="s">
        <v>69</v>
      </c>
      <c r="G346" s="53">
        <v>104690</v>
      </c>
      <c r="H346" s="54" t="s">
        <v>70</v>
      </c>
      <c r="I346" s="54" t="s">
        <v>626</v>
      </c>
      <c r="J346" s="55" t="s">
        <v>78</v>
      </c>
      <c r="K346" s="54" t="s">
        <v>136</v>
      </c>
      <c r="L346" s="56">
        <f>35475+(6*364)</f>
        <v>37659</v>
      </c>
      <c r="M346" s="43">
        <f t="shared" ca="1" si="5"/>
        <v>22</v>
      </c>
    </row>
    <row r="347" spans="1:13" x14ac:dyDescent="0.3">
      <c r="A347" s="49" t="s">
        <v>648</v>
      </c>
      <c r="B347" s="49" t="s">
        <v>84</v>
      </c>
      <c r="C347" s="50">
        <v>66479</v>
      </c>
      <c r="D347" s="51">
        <v>69914</v>
      </c>
      <c r="E347" s="52">
        <v>7194221208</v>
      </c>
      <c r="F347" s="43"/>
      <c r="G347" s="53">
        <v>93192</v>
      </c>
      <c r="H347" s="54" t="s">
        <v>86</v>
      </c>
      <c r="I347" s="54" t="s">
        <v>627</v>
      </c>
      <c r="J347" s="55" t="s">
        <v>153</v>
      </c>
      <c r="K347" s="54" t="s">
        <v>175</v>
      </c>
      <c r="L347" s="56">
        <f>35756+(6*364)</f>
        <v>37940</v>
      </c>
      <c r="M347" s="43">
        <f t="shared" ca="1" si="5"/>
        <v>22</v>
      </c>
    </row>
    <row r="348" spans="1:13" x14ac:dyDescent="0.3">
      <c r="A348" s="49" t="s">
        <v>649</v>
      </c>
      <c r="B348" s="49" t="s">
        <v>84</v>
      </c>
      <c r="C348" s="50">
        <v>72518</v>
      </c>
      <c r="D348" s="51">
        <v>73603</v>
      </c>
      <c r="E348" s="52">
        <v>5057963782</v>
      </c>
      <c r="F348" s="43"/>
      <c r="G348" s="53">
        <v>68869</v>
      </c>
      <c r="H348" s="54" t="s">
        <v>108</v>
      </c>
      <c r="I348" s="54" t="s">
        <v>495</v>
      </c>
      <c r="J348" s="55" t="s">
        <v>78</v>
      </c>
      <c r="K348" s="54" t="s">
        <v>106</v>
      </c>
      <c r="L348" s="56">
        <f>35710+(6*364)</f>
        <v>37894</v>
      </c>
      <c r="M348" s="43">
        <f t="shared" ca="1" si="5"/>
        <v>22</v>
      </c>
    </row>
    <row r="349" spans="1:13" x14ac:dyDescent="0.3">
      <c r="A349" s="49" t="s">
        <v>651</v>
      </c>
      <c r="B349" s="49" t="s">
        <v>84</v>
      </c>
      <c r="C349" s="50">
        <v>59423</v>
      </c>
      <c r="D349" s="51">
        <v>60136</v>
      </c>
      <c r="E349" s="52">
        <v>9701299076</v>
      </c>
      <c r="F349" s="43" t="s">
        <v>91</v>
      </c>
      <c r="G349" s="53">
        <v>122097</v>
      </c>
      <c r="H349" s="54" t="s">
        <v>70</v>
      </c>
      <c r="I349" s="54" t="s">
        <v>629</v>
      </c>
      <c r="J349" s="55" t="s">
        <v>100</v>
      </c>
      <c r="K349" s="54" t="s">
        <v>79</v>
      </c>
      <c r="L349" s="56">
        <f>38004+(6*364)</f>
        <v>40188</v>
      </c>
      <c r="M349" s="43">
        <f t="shared" ca="1" si="5"/>
        <v>15</v>
      </c>
    </row>
    <row r="350" spans="1:13" x14ac:dyDescent="0.3">
      <c r="A350" s="49" t="s">
        <v>652</v>
      </c>
      <c r="B350" s="49" t="s">
        <v>84</v>
      </c>
      <c r="C350" s="50">
        <v>34754</v>
      </c>
      <c r="D350" s="51">
        <v>81432</v>
      </c>
      <c r="E350" s="52">
        <v>3031280865</v>
      </c>
      <c r="F350" s="43" t="s">
        <v>98</v>
      </c>
      <c r="G350" s="53">
        <v>109628</v>
      </c>
      <c r="H350" s="54" t="s">
        <v>70</v>
      </c>
      <c r="I350" s="54" t="s">
        <v>630</v>
      </c>
      <c r="J350" s="55" t="s">
        <v>72</v>
      </c>
      <c r="K350" s="54" t="s">
        <v>79</v>
      </c>
      <c r="L350" s="56">
        <f>42487+(6*364)</f>
        <v>44671</v>
      </c>
      <c r="M350" s="43">
        <f t="shared" ca="1" si="5"/>
        <v>3</v>
      </c>
    </row>
    <row r="351" spans="1:13" x14ac:dyDescent="0.3">
      <c r="A351" s="49" t="s">
        <v>653</v>
      </c>
      <c r="B351" s="49" t="s">
        <v>84</v>
      </c>
      <c r="C351" s="50">
        <v>61232</v>
      </c>
      <c r="D351" s="51">
        <v>69862</v>
      </c>
      <c r="E351" s="52">
        <v>7192924678</v>
      </c>
      <c r="F351" s="43" t="s">
        <v>98</v>
      </c>
      <c r="G351" s="53">
        <v>79139</v>
      </c>
      <c r="H351" s="54" t="s">
        <v>70</v>
      </c>
      <c r="I351" s="54" t="s">
        <v>631</v>
      </c>
      <c r="J351" s="55" t="s">
        <v>78</v>
      </c>
      <c r="K351" s="54" t="s">
        <v>79</v>
      </c>
      <c r="L351" s="56">
        <f>35713+(6*364)</f>
        <v>37897</v>
      </c>
      <c r="M351" s="43">
        <f t="shared" ca="1" si="5"/>
        <v>22</v>
      </c>
    </row>
    <row r="352" spans="1:13" x14ac:dyDescent="0.3">
      <c r="A352" s="49" t="s">
        <v>655</v>
      </c>
      <c r="B352" s="49" t="s">
        <v>84</v>
      </c>
      <c r="C352" s="50">
        <v>71784</v>
      </c>
      <c r="D352" s="51">
        <v>70968</v>
      </c>
      <c r="E352" s="52">
        <v>7197494648</v>
      </c>
      <c r="F352" s="43" t="s">
        <v>69</v>
      </c>
      <c r="G352" s="53">
        <v>69767</v>
      </c>
      <c r="H352" s="54" t="s">
        <v>70</v>
      </c>
      <c r="I352" s="54" t="s">
        <v>632</v>
      </c>
      <c r="J352" s="55" t="s">
        <v>72</v>
      </c>
      <c r="K352" s="54" t="s">
        <v>106</v>
      </c>
      <c r="L352" s="56">
        <f>37131+(6*364)</f>
        <v>39315</v>
      </c>
      <c r="M352" s="43">
        <f t="shared" ca="1" si="5"/>
        <v>18</v>
      </c>
    </row>
    <row r="353" spans="1:13" x14ac:dyDescent="0.3">
      <c r="A353" s="49" t="s">
        <v>656</v>
      </c>
      <c r="B353" s="49" t="s">
        <v>84</v>
      </c>
      <c r="C353" s="50">
        <v>46301</v>
      </c>
      <c r="D353" s="51">
        <v>83004</v>
      </c>
      <c r="E353" s="52">
        <v>7191276517</v>
      </c>
      <c r="F353" s="43" t="s">
        <v>98</v>
      </c>
      <c r="G353" s="53">
        <v>81591</v>
      </c>
      <c r="H353" s="54" t="s">
        <v>70</v>
      </c>
      <c r="I353" s="54" t="s">
        <v>498</v>
      </c>
      <c r="J353" s="55" t="s">
        <v>78</v>
      </c>
      <c r="K353" s="54" t="s">
        <v>175</v>
      </c>
      <c r="L353" s="56">
        <f>40962+(6*364)</f>
        <v>43146</v>
      </c>
      <c r="M353" s="43">
        <f t="shared" ca="1" si="5"/>
        <v>7</v>
      </c>
    </row>
    <row r="354" spans="1:13" x14ac:dyDescent="0.3">
      <c r="A354" s="49" t="s">
        <v>658</v>
      </c>
      <c r="B354" s="49" t="s">
        <v>84</v>
      </c>
      <c r="C354" s="50">
        <v>39882</v>
      </c>
      <c r="D354" s="51">
        <v>79671</v>
      </c>
      <c r="E354" s="52">
        <v>5056584511</v>
      </c>
      <c r="F354" s="43"/>
      <c r="G354" s="53">
        <v>98709</v>
      </c>
      <c r="H354" s="54" t="s">
        <v>86</v>
      </c>
      <c r="I354" s="54" t="s">
        <v>633</v>
      </c>
      <c r="J354" s="55" t="s">
        <v>72</v>
      </c>
      <c r="K354" s="54" t="s">
        <v>89</v>
      </c>
      <c r="L354" s="56">
        <f>38284+(6*364)</f>
        <v>40468</v>
      </c>
      <c r="M354" s="43">
        <f t="shared" ca="1" si="5"/>
        <v>15</v>
      </c>
    </row>
    <row r="355" spans="1:13" x14ac:dyDescent="0.3">
      <c r="A355" s="49" t="s">
        <v>660</v>
      </c>
      <c r="B355" s="49" t="s">
        <v>84</v>
      </c>
      <c r="C355" s="50">
        <v>57641</v>
      </c>
      <c r="D355" s="51">
        <v>77910</v>
      </c>
      <c r="E355" s="52">
        <v>7193262077</v>
      </c>
      <c r="F355" s="43" t="s">
        <v>98</v>
      </c>
      <c r="G355" s="53">
        <v>70267</v>
      </c>
      <c r="H355" s="54" t="s">
        <v>70</v>
      </c>
      <c r="I355" s="54" t="s">
        <v>634</v>
      </c>
      <c r="J355" s="55" t="s">
        <v>78</v>
      </c>
      <c r="K355" s="54" t="s">
        <v>93</v>
      </c>
      <c r="L355" s="56">
        <f>38010+(6*364)</f>
        <v>40194</v>
      </c>
      <c r="M355" s="43">
        <f t="shared" ca="1" si="5"/>
        <v>15</v>
      </c>
    </row>
    <row r="356" spans="1:13" x14ac:dyDescent="0.3">
      <c r="A356" s="49" t="s">
        <v>662</v>
      </c>
      <c r="B356" s="49" t="s">
        <v>84</v>
      </c>
      <c r="C356" s="50">
        <v>94254</v>
      </c>
      <c r="D356" s="51">
        <v>69566</v>
      </c>
      <c r="E356" s="52">
        <v>3031696804</v>
      </c>
      <c r="F356" s="43"/>
      <c r="G356" s="53">
        <v>30255</v>
      </c>
      <c r="H356" s="54" t="s">
        <v>86</v>
      </c>
      <c r="I356" s="54" t="s">
        <v>635</v>
      </c>
      <c r="J356" s="55" t="s">
        <v>78</v>
      </c>
      <c r="K356" s="54" t="s">
        <v>79</v>
      </c>
      <c r="L356" s="56">
        <f>41526+(6*364)</f>
        <v>43710</v>
      </c>
      <c r="M356" s="43">
        <f t="shared" ca="1" si="5"/>
        <v>6</v>
      </c>
    </row>
    <row r="357" spans="1:13" x14ac:dyDescent="0.3">
      <c r="A357" s="49" t="s">
        <v>663</v>
      </c>
      <c r="B357" s="49" t="s">
        <v>84</v>
      </c>
      <c r="C357" s="50">
        <v>73571</v>
      </c>
      <c r="D357" s="51">
        <v>36385</v>
      </c>
      <c r="E357" s="52">
        <v>5051658481</v>
      </c>
      <c r="F357" s="43"/>
      <c r="G357" s="53">
        <v>36457</v>
      </c>
      <c r="H357" s="54" t="s">
        <v>86</v>
      </c>
      <c r="I357" s="54" t="s">
        <v>500</v>
      </c>
      <c r="J357" s="55" t="s">
        <v>100</v>
      </c>
      <c r="K357" s="54" t="s">
        <v>93</v>
      </c>
      <c r="L357" s="56">
        <f>37842+(6*364)</f>
        <v>40026</v>
      </c>
      <c r="M357" s="43">
        <f t="shared" ca="1" si="5"/>
        <v>16</v>
      </c>
    </row>
    <row r="358" spans="1:13" x14ac:dyDescent="0.3">
      <c r="A358" s="49" t="s">
        <v>665</v>
      </c>
      <c r="B358" s="49" t="s">
        <v>84</v>
      </c>
      <c r="C358" s="50">
        <v>73192</v>
      </c>
      <c r="D358" s="51">
        <v>75445</v>
      </c>
      <c r="E358" s="52">
        <v>9704018412</v>
      </c>
      <c r="F358" s="43" t="s">
        <v>98</v>
      </c>
      <c r="G358" s="53">
        <v>41601</v>
      </c>
      <c r="H358" s="54" t="s">
        <v>76</v>
      </c>
      <c r="I358" s="54" t="s">
        <v>502</v>
      </c>
      <c r="J358" s="55" t="s">
        <v>153</v>
      </c>
      <c r="K358" s="54" t="s">
        <v>79</v>
      </c>
      <c r="L358" s="56">
        <f>40362+(6*364)</f>
        <v>42546</v>
      </c>
      <c r="M358" s="43">
        <f t="shared" ca="1" si="5"/>
        <v>9</v>
      </c>
    </row>
    <row r="359" spans="1:13" x14ac:dyDescent="0.3">
      <c r="A359" s="49" t="s">
        <v>666</v>
      </c>
      <c r="B359" s="49" t="s">
        <v>84</v>
      </c>
      <c r="C359" s="50">
        <v>71192</v>
      </c>
      <c r="D359" s="51">
        <v>69883</v>
      </c>
      <c r="E359" s="52">
        <v>9703451072</v>
      </c>
      <c r="F359" s="43" t="s">
        <v>91</v>
      </c>
      <c r="G359" s="53">
        <v>77832</v>
      </c>
      <c r="H359" s="54" t="s">
        <v>70</v>
      </c>
      <c r="I359" s="54" t="s">
        <v>636</v>
      </c>
      <c r="J359" s="55" t="s">
        <v>88</v>
      </c>
      <c r="K359" s="54" t="s">
        <v>106</v>
      </c>
      <c r="L359" s="56">
        <f>36090+(6*364)</f>
        <v>38274</v>
      </c>
      <c r="M359" s="43">
        <f t="shared" ca="1" si="5"/>
        <v>21</v>
      </c>
    </row>
    <row r="360" spans="1:13" x14ac:dyDescent="0.3">
      <c r="A360" s="49" t="s">
        <v>668</v>
      </c>
      <c r="B360" s="49" t="s">
        <v>84</v>
      </c>
      <c r="C360" s="50">
        <v>24275</v>
      </c>
      <c r="D360" s="51">
        <v>90323</v>
      </c>
      <c r="E360" s="52">
        <v>3032244880</v>
      </c>
      <c r="F360" s="43" t="s">
        <v>91</v>
      </c>
      <c r="G360" s="53">
        <v>125183</v>
      </c>
      <c r="H360" s="54" t="s">
        <v>70</v>
      </c>
      <c r="I360" s="54" t="s">
        <v>637</v>
      </c>
      <c r="J360" s="55" t="s">
        <v>72</v>
      </c>
      <c r="K360" s="54" t="s">
        <v>204</v>
      </c>
      <c r="L360" s="56">
        <f>35273+(6*364)</f>
        <v>37457</v>
      </c>
      <c r="M360" s="43">
        <f t="shared" ca="1" si="5"/>
        <v>23</v>
      </c>
    </row>
    <row r="361" spans="1:13" x14ac:dyDescent="0.3">
      <c r="A361" s="49" t="s">
        <v>669</v>
      </c>
      <c r="B361" s="49" t="s">
        <v>84</v>
      </c>
      <c r="C361" s="50">
        <v>67442</v>
      </c>
      <c r="D361" s="51">
        <v>76041</v>
      </c>
      <c r="E361" s="52">
        <v>9703123940</v>
      </c>
      <c r="F361" s="43" t="s">
        <v>98</v>
      </c>
      <c r="G361" s="53">
        <v>96529</v>
      </c>
      <c r="H361" s="54" t="s">
        <v>70</v>
      </c>
      <c r="I361" s="54" t="s">
        <v>638</v>
      </c>
      <c r="J361" s="55" t="s">
        <v>83</v>
      </c>
      <c r="K361" s="54" t="s">
        <v>89</v>
      </c>
      <c r="L361" s="56">
        <f>41671+(6*364)</f>
        <v>43855</v>
      </c>
      <c r="M361" s="43">
        <f t="shared" ca="1" si="5"/>
        <v>5</v>
      </c>
    </row>
    <row r="362" spans="1:13" x14ac:dyDescent="0.3">
      <c r="A362" s="49" t="s">
        <v>671</v>
      </c>
      <c r="B362" s="49" t="s">
        <v>84</v>
      </c>
      <c r="C362" s="50">
        <v>49561</v>
      </c>
      <c r="D362" s="51">
        <v>75901</v>
      </c>
      <c r="E362" s="52">
        <v>5051789943</v>
      </c>
      <c r="F362" s="43"/>
      <c r="G362" s="53">
        <v>52394</v>
      </c>
      <c r="H362" s="54" t="s">
        <v>108</v>
      </c>
      <c r="I362" s="54" t="s">
        <v>226</v>
      </c>
      <c r="J362" s="55" t="s">
        <v>78</v>
      </c>
      <c r="K362" s="54" t="s">
        <v>172</v>
      </c>
      <c r="L362" s="56">
        <f>41077+(6*364)</f>
        <v>43261</v>
      </c>
      <c r="M362" s="43">
        <f t="shared" ca="1" si="5"/>
        <v>7</v>
      </c>
    </row>
    <row r="363" spans="1:13" x14ac:dyDescent="0.3">
      <c r="A363" s="49" t="s">
        <v>672</v>
      </c>
      <c r="B363" s="49" t="s">
        <v>84</v>
      </c>
      <c r="C363" s="50">
        <v>30769</v>
      </c>
      <c r="D363" s="51">
        <v>114991</v>
      </c>
      <c r="E363" s="52">
        <v>5052881600</v>
      </c>
      <c r="F363" s="43" t="s">
        <v>98</v>
      </c>
      <c r="G363" s="53">
        <v>50814</v>
      </c>
      <c r="H363" s="54" t="s">
        <v>76</v>
      </c>
      <c r="I363" s="54" t="s">
        <v>370</v>
      </c>
      <c r="J363" s="55" t="s">
        <v>88</v>
      </c>
      <c r="K363" s="54" t="s">
        <v>95</v>
      </c>
      <c r="L363" s="56">
        <f>36000+(6*364)</f>
        <v>38184</v>
      </c>
      <c r="M363" s="43">
        <f t="shared" ca="1" si="5"/>
        <v>21</v>
      </c>
    </row>
    <row r="364" spans="1:13" x14ac:dyDescent="0.3">
      <c r="A364" s="49" t="s">
        <v>673</v>
      </c>
      <c r="B364" s="49" t="s">
        <v>84</v>
      </c>
      <c r="C364" s="50">
        <v>36628</v>
      </c>
      <c r="D364" s="51">
        <v>62754</v>
      </c>
      <c r="E364" s="52">
        <v>9703876146</v>
      </c>
      <c r="F364" s="43"/>
      <c r="G364" s="53">
        <v>73605</v>
      </c>
      <c r="H364" s="54" t="s">
        <v>86</v>
      </c>
      <c r="I364" s="54" t="s">
        <v>640</v>
      </c>
      <c r="J364" s="55" t="s">
        <v>88</v>
      </c>
      <c r="K364" s="54" t="s">
        <v>89</v>
      </c>
      <c r="L364" s="56">
        <f>35555+(6*364)</f>
        <v>37739</v>
      </c>
      <c r="M364" s="43">
        <f t="shared" ca="1" si="5"/>
        <v>22</v>
      </c>
    </row>
    <row r="365" spans="1:13" x14ac:dyDescent="0.3">
      <c r="A365" s="49" t="s">
        <v>675</v>
      </c>
      <c r="B365" s="49" t="s">
        <v>84</v>
      </c>
      <c r="C365" s="50">
        <v>82824</v>
      </c>
      <c r="D365" s="51">
        <v>70867</v>
      </c>
      <c r="E365" s="52">
        <v>7196224056</v>
      </c>
      <c r="F365" s="43"/>
      <c r="G365" s="53">
        <v>30101</v>
      </c>
      <c r="H365" s="54" t="s">
        <v>86</v>
      </c>
      <c r="I365" s="54" t="s">
        <v>641</v>
      </c>
      <c r="J365" s="55" t="s">
        <v>78</v>
      </c>
      <c r="K365" s="54" t="s">
        <v>106</v>
      </c>
      <c r="L365" s="56">
        <f>35272+(6*364)</f>
        <v>37456</v>
      </c>
      <c r="M365" s="43">
        <f t="shared" ca="1" si="5"/>
        <v>23</v>
      </c>
    </row>
    <row r="366" spans="1:13" x14ac:dyDescent="0.3">
      <c r="A366" s="49" t="s">
        <v>677</v>
      </c>
      <c r="B366" s="49" t="s">
        <v>84</v>
      </c>
      <c r="C366" s="50">
        <v>17412</v>
      </c>
      <c r="D366" s="51">
        <v>72482</v>
      </c>
      <c r="E366" s="52">
        <v>5055790872</v>
      </c>
      <c r="F366" s="43" t="s">
        <v>98</v>
      </c>
      <c r="G366" s="53">
        <v>84305</v>
      </c>
      <c r="H366" s="54" t="s">
        <v>70</v>
      </c>
      <c r="I366" s="54" t="s">
        <v>503</v>
      </c>
      <c r="J366" s="55" t="s">
        <v>153</v>
      </c>
      <c r="K366" s="54" t="s">
        <v>355</v>
      </c>
      <c r="L366" s="56">
        <f>38967+(6*364)</f>
        <v>41151</v>
      </c>
      <c r="M366" s="43">
        <f t="shared" ca="1" si="5"/>
        <v>13</v>
      </c>
    </row>
    <row r="367" spans="1:13" x14ac:dyDescent="0.3">
      <c r="A367" s="49" t="s">
        <v>679</v>
      </c>
      <c r="B367" s="49" t="s">
        <v>84</v>
      </c>
      <c r="C367" s="50">
        <v>82153</v>
      </c>
      <c r="D367" s="51">
        <v>45401</v>
      </c>
      <c r="E367" s="52">
        <v>5054747044</v>
      </c>
      <c r="F367" s="43"/>
      <c r="G367" s="53">
        <v>36520</v>
      </c>
      <c r="H367" s="54" t="s">
        <v>86</v>
      </c>
      <c r="I367" s="54" t="s">
        <v>619</v>
      </c>
      <c r="J367" s="55" t="s">
        <v>88</v>
      </c>
      <c r="K367" s="54" t="s">
        <v>158</v>
      </c>
      <c r="L367" s="56">
        <f>38001+(6*364)</f>
        <v>40185</v>
      </c>
      <c r="M367" s="43">
        <f t="shared" ca="1" si="5"/>
        <v>15</v>
      </c>
    </row>
    <row r="368" spans="1:13" x14ac:dyDescent="0.3">
      <c r="A368" s="49" t="s">
        <v>23</v>
      </c>
      <c r="B368" s="49" t="s">
        <v>84</v>
      </c>
      <c r="C368" s="50">
        <v>17933</v>
      </c>
      <c r="D368" s="51">
        <v>116899</v>
      </c>
      <c r="E368" s="52">
        <v>5057780776</v>
      </c>
      <c r="F368" s="43" t="s">
        <v>69</v>
      </c>
      <c r="G368" s="53">
        <v>86340</v>
      </c>
      <c r="H368" s="54" t="s">
        <v>70</v>
      </c>
      <c r="I368" s="54" t="s">
        <v>645</v>
      </c>
      <c r="J368" s="55" t="s">
        <v>72</v>
      </c>
      <c r="K368" s="54" t="s">
        <v>89</v>
      </c>
      <c r="L368" s="56">
        <f>39968+(6*364)</f>
        <v>42152</v>
      </c>
      <c r="M368" s="43">
        <f t="shared" ca="1" si="5"/>
        <v>10</v>
      </c>
    </row>
    <row r="369" spans="1:13" x14ac:dyDescent="0.3">
      <c r="A369" s="49" t="s">
        <v>682</v>
      </c>
      <c r="B369" s="49" t="s">
        <v>84</v>
      </c>
      <c r="C369" s="50">
        <v>43425</v>
      </c>
      <c r="D369" s="51">
        <v>75808</v>
      </c>
      <c r="E369" s="52">
        <v>7194127875</v>
      </c>
      <c r="F369" s="43"/>
      <c r="G369" s="53">
        <v>53814</v>
      </c>
      <c r="H369" s="54" t="s">
        <v>86</v>
      </c>
      <c r="I369" s="54" t="s">
        <v>647</v>
      </c>
      <c r="J369" s="55" t="s">
        <v>72</v>
      </c>
      <c r="K369" s="54" t="s">
        <v>172</v>
      </c>
      <c r="L369" s="56">
        <f>38138+(6*364)</f>
        <v>40322</v>
      </c>
      <c r="M369" s="43">
        <f t="shared" ca="1" si="5"/>
        <v>15</v>
      </c>
    </row>
    <row r="370" spans="1:13" x14ac:dyDescent="0.3">
      <c r="A370" s="49" t="s">
        <v>166</v>
      </c>
      <c r="B370" s="49" t="s">
        <v>146</v>
      </c>
      <c r="C370" s="50">
        <v>47430</v>
      </c>
      <c r="D370" s="51">
        <v>63531</v>
      </c>
      <c r="E370" s="52">
        <v>3037686976</v>
      </c>
      <c r="F370" s="43" t="s">
        <v>91</v>
      </c>
      <c r="G370" s="53">
        <v>113706</v>
      </c>
      <c r="H370" s="54" t="s">
        <v>70</v>
      </c>
      <c r="I370" s="54" t="s">
        <v>505</v>
      </c>
      <c r="J370" s="55" t="s">
        <v>88</v>
      </c>
      <c r="K370" s="54" t="s">
        <v>93</v>
      </c>
      <c r="L370" s="56">
        <f>40971+(6*364)</f>
        <v>43155</v>
      </c>
      <c r="M370" s="43">
        <f t="shared" ca="1" si="5"/>
        <v>7</v>
      </c>
    </row>
    <row r="371" spans="1:13" x14ac:dyDescent="0.3">
      <c r="A371" s="49" t="s">
        <v>300</v>
      </c>
      <c r="B371" s="49" t="s">
        <v>146</v>
      </c>
      <c r="C371" s="50">
        <v>91126</v>
      </c>
      <c r="D371" s="51">
        <v>77270</v>
      </c>
      <c r="E371" s="52">
        <v>3031487375</v>
      </c>
      <c r="F371" s="43" t="s">
        <v>91</v>
      </c>
      <c r="G371" s="53">
        <v>124361</v>
      </c>
      <c r="H371" s="54" t="s">
        <v>76</v>
      </c>
      <c r="I371" s="54" t="s">
        <v>650</v>
      </c>
      <c r="J371" s="55" t="s">
        <v>153</v>
      </c>
      <c r="K371" s="54" t="s">
        <v>79</v>
      </c>
      <c r="L371" s="56">
        <f>41095+(6*364)</f>
        <v>43279</v>
      </c>
      <c r="M371" s="43">
        <f t="shared" ca="1" si="5"/>
        <v>7</v>
      </c>
    </row>
    <row r="372" spans="1:13" x14ac:dyDescent="0.3">
      <c r="A372" s="49" t="s">
        <v>311</v>
      </c>
      <c r="B372" s="49" t="s">
        <v>146</v>
      </c>
      <c r="C372" s="50">
        <v>22528</v>
      </c>
      <c r="D372" s="51">
        <v>134653</v>
      </c>
      <c r="E372" s="52">
        <v>7192888726</v>
      </c>
      <c r="F372" s="43" t="s">
        <v>91</v>
      </c>
      <c r="G372" s="53">
        <v>49153</v>
      </c>
      <c r="H372" s="54" t="s">
        <v>70</v>
      </c>
      <c r="I372" s="54" t="s">
        <v>507</v>
      </c>
      <c r="J372" s="55" t="s">
        <v>72</v>
      </c>
      <c r="K372" s="54" t="s">
        <v>146</v>
      </c>
      <c r="L372" s="56">
        <f>35828+(6*364)</f>
        <v>38012</v>
      </c>
      <c r="M372" s="43">
        <f t="shared" ca="1" si="5"/>
        <v>21</v>
      </c>
    </row>
    <row r="373" spans="1:13" x14ac:dyDescent="0.3">
      <c r="A373" s="49" t="s">
        <v>333</v>
      </c>
      <c r="B373" s="49" t="s">
        <v>146</v>
      </c>
      <c r="C373" s="50">
        <v>48447</v>
      </c>
      <c r="D373" s="51">
        <v>51556</v>
      </c>
      <c r="E373" s="52">
        <v>7192778445</v>
      </c>
      <c r="F373" s="43"/>
      <c r="G373" s="53">
        <v>65493</v>
      </c>
      <c r="H373" s="54" t="s">
        <v>86</v>
      </c>
      <c r="I373" s="54" t="s">
        <v>642</v>
      </c>
      <c r="J373" s="55" t="s">
        <v>88</v>
      </c>
      <c r="K373" s="54" t="s">
        <v>73</v>
      </c>
      <c r="L373" s="56">
        <f>39212+(6*364)</f>
        <v>41396</v>
      </c>
      <c r="M373" s="43">
        <f t="shared" ca="1" si="5"/>
        <v>12</v>
      </c>
    </row>
    <row r="374" spans="1:13" x14ac:dyDescent="0.3">
      <c r="A374" s="49" t="s">
        <v>362</v>
      </c>
      <c r="B374" s="49" t="s">
        <v>146</v>
      </c>
      <c r="C374" s="50">
        <v>95237</v>
      </c>
      <c r="D374" s="51">
        <v>78515</v>
      </c>
      <c r="E374" s="52">
        <v>3038217409</v>
      </c>
      <c r="F374" s="43"/>
      <c r="G374" s="53">
        <v>40532</v>
      </c>
      <c r="H374" s="54" t="s">
        <v>108</v>
      </c>
      <c r="I374" s="54" t="s">
        <v>654</v>
      </c>
      <c r="J374" s="55" t="s">
        <v>72</v>
      </c>
      <c r="K374" s="54" t="s">
        <v>172</v>
      </c>
      <c r="L374" s="56">
        <f>35635+(6*364)</f>
        <v>37819</v>
      </c>
      <c r="M374" s="43">
        <f t="shared" ca="1" si="5"/>
        <v>22</v>
      </c>
    </row>
    <row r="375" spans="1:13" x14ac:dyDescent="0.3">
      <c r="A375" s="49" t="s">
        <v>443</v>
      </c>
      <c r="B375" s="49" t="s">
        <v>146</v>
      </c>
      <c r="C375" s="50">
        <v>49759</v>
      </c>
      <c r="D375" s="51">
        <v>78738</v>
      </c>
      <c r="E375" s="52">
        <v>5056196095</v>
      </c>
      <c r="F375" s="43"/>
      <c r="G375" s="53">
        <v>38136</v>
      </c>
      <c r="H375" s="54" t="s">
        <v>86</v>
      </c>
      <c r="I375" s="54" t="s">
        <v>508</v>
      </c>
      <c r="J375" s="55" t="s">
        <v>153</v>
      </c>
      <c r="K375" s="54" t="s">
        <v>84</v>
      </c>
      <c r="L375" s="56">
        <f>35171+(6*364)</f>
        <v>37355</v>
      </c>
      <c r="M375" s="43">
        <f t="shared" ca="1" si="5"/>
        <v>23</v>
      </c>
    </row>
    <row r="376" spans="1:13" x14ac:dyDescent="0.3">
      <c r="A376" s="49" t="s">
        <v>472</v>
      </c>
      <c r="B376" s="49" t="s">
        <v>146</v>
      </c>
      <c r="C376" s="50">
        <v>98535</v>
      </c>
      <c r="D376" s="51">
        <v>85478</v>
      </c>
      <c r="E376" s="52">
        <v>9704663056</v>
      </c>
      <c r="F376" s="43" t="s">
        <v>91</v>
      </c>
      <c r="G376" s="53">
        <v>100063</v>
      </c>
      <c r="H376" s="54" t="s">
        <v>70</v>
      </c>
      <c r="I376" s="54" t="s">
        <v>657</v>
      </c>
      <c r="J376" s="55" t="s">
        <v>72</v>
      </c>
      <c r="K376" s="54" t="s">
        <v>93</v>
      </c>
      <c r="L376" s="56">
        <f>41370+(6*364)</f>
        <v>43554</v>
      </c>
      <c r="M376" s="43">
        <f t="shared" ca="1" si="5"/>
        <v>6</v>
      </c>
    </row>
    <row r="377" spans="1:13" x14ac:dyDescent="0.3">
      <c r="A377" s="49" t="s">
        <v>484</v>
      </c>
      <c r="B377" s="49" t="s">
        <v>146</v>
      </c>
      <c r="C377" s="50">
        <v>27852</v>
      </c>
      <c r="D377" s="51">
        <v>132454</v>
      </c>
      <c r="E377" s="52">
        <v>7196795200</v>
      </c>
      <c r="F377" s="43"/>
      <c r="G377" s="53">
        <v>76222</v>
      </c>
      <c r="H377" s="54" t="s">
        <v>86</v>
      </c>
      <c r="I377" s="54" t="s">
        <v>659</v>
      </c>
      <c r="J377" s="55" t="s">
        <v>72</v>
      </c>
      <c r="K377" s="54" t="s">
        <v>204</v>
      </c>
      <c r="L377" s="56">
        <f>35082+(6*364)</f>
        <v>37266</v>
      </c>
      <c r="M377" s="43">
        <f t="shared" ca="1" si="5"/>
        <v>23</v>
      </c>
    </row>
    <row r="378" spans="1:13" x14ac:dyDescent="0.3">
      <c r="A378" s="49" t="s">
        <v>486</v>
      </c>
      <c r="B378" s="49" t="s">
        <v>146</v>
      </c>
      <c r="C378" s="50">
        <v>16720</v>
      </c>
      <c r="D378" s="51">
        <v>46405</v>
      </c>
      <c r="E378" s="52">
        <v>3035858234</v>
      </c>
      <c r="F378" s="43" t="s">
        <v>98</v>
      </c>
      <c r="G378" s="53">
        <v>123790</v>
      </c>
      <c r="H378" s="54" t="s">
        <v>70</v>
      </c>
      <c r="I378" s="54" t="s">
        <v>661</v>
      </c>
      <c r="J378" s="55" t="s">
        <v>88</v>
      </c>
      <c r="K378" s="54" t="s">
        <v>84</v>
      </c>
      <c r="L378" s="56">
        <f>42133+(6*364)</f>
        <v>44317</v>
      </c>
      <c r="M378" s="43">
        <f t="shared" ca="1" si="5"/>
        <v>4</v>
      </c>
    </row>
    <row r="379" spans="1:13" x14ac:dyDescent="0.3">
      <c r="A379" s="49" t="s">
        <v>560</v>
      </c>
      <c r="B379" s="49" t="s">
        <v>146</v>
      </c>
      <c r="C379" s="50">
        <v>53302</v>
      </c>
      <c r="D379" s="51">
        <v>112096</v>
      </c>
      <c r="E379" s="52">
        <v>9706514650</v>
      </c>
      <c r="F379" s="43" t="s">
        <v>69</v>
      </c>
      <c r="G379" s="53">
        <v>101285</v>
      </c>
      <c r="H379" s="54" t="s">
        <v>76</v>
      </c>
      <c r="I379" s="54" t="s">
        <v>415</v>
      </c>
      <c r="J379" s="55" t="s">
        <v>88</v>
      </c>
      <c r="K379" s="54" t="s">
        <v>93</v>
      </c>
      <c r="L379" s="56">
        <f>39328+(6*364)</f>
        <v>41512</v>
      </c>
      <c r="M379" s="43">
        <f t="shared" ca="1" si="5"/>
        <v>12</v>
      </c>
    </row>
    <row r="380" spans="1:13" x14ac:dyDescent="0.3">
      <c r="A380" s="49" t="s">
        <v>688</v>
      </c>
      <c r="B380" s="49" t="s">
        <v>146</v>
      </c>
      <c r="C380" s="50">
        <v>80099</v>
      </c>
      <c r="D380" s="51">
        <v>48954</v>
      </c>
      <c r="E380" s="52">
        <v>5056228199</v>
      </c>
      <c r="F380" s="43"/>
      <c r="G380" s="53">
        <v>58412</v>
      </c>
      <c r="H380" s="54" t="s">
        <v>86</v>
      </c>
      <c r="I380" s="54" t="s">
        <v>664</v>
      </c>
      <c r="J380" s="55" t="s">
        <v>78</v>
      </c>
      <c r="K380" s="54" t="s">
        <v>89</v>
      </c>
      <c r="L380" s="56">
        <f>36944+(6*364)</f>
        <v>39128</v>
      </c>
      <c r="M380" s="43">
        <f t="shared" ca="1" si="5"/>
        <v>18</v>
      </c>
    </row>
    <row r="381" spans="1:13" x14ac:dyDescent="0.3">
      <c r="A381" s="49" t="s">
        <v>650</v>
      </c>
      <c r="B381" s="49" t="s">
        <v>146</v>
      </c>
      <c r="C381" s="50">
        <v>56638</v>
      </c>
      <c r="D381" s="51">
        <v>52996</v>
      </c>
      <c r="E381" s="52">
        <v>3035327906</v>
      </c>
      <c r="F381" s="43" t="s">
        <v>98</v>
      </c>
      <c r="G381" s="53">
        <v>55970</v>
      </c>
      <c r="H381" s="54" t="s">
        <v>76</v>
      </c>
      <c r="I381" s="54" t="s">
        <v>110</v>
      </c>
      <c r="J381" s="55" t="s">
        <v>78</v>
      </c>
      <c r="K381" s="54" t="s">
        <v>89</v>
      </c>
      <c r="L381" s="56">
        <f>39544+(6*364)</f>
        <v>41728</v>
      </c>
      <c r="M381" s="43">
        <f t="shared" ca="1" si="5"/>
        <v>11</v>
      </c>
    </row>
    <row r="382" spans="1:13" x14ac:dyDescent="0.3">
      <c r="A382" s="49" t="s">
        <v>664</v>
      </c>
      <c r="B382" s="49" t="s">
        <v>146</v>
      </c>
      <c r="C382" s="50">
        <v>88086</v>
      </c>
      <c r="D382" s="51">
        <v>106172</v>
      </c>
      <c r="E382" s="52">
        <v>7198561246</v>
      </c>
      <c r="F382" s="43" t="s">
        <v>98</v>
      </c>
      <c r="G382" s="53">
        <v>66084</v>
      </c>
      <c r="H382" s="54" t="s">
        <v>70</v>
      </c>
      <c r="I382" s="54" t="s">
        <v>667</v>
      </c>
      <c r="J382" s="55" t="s">
        <v>88</v>
      </c>
      <c r="K382" s="54" t="s">
        <v>103</v>
      </c>
      <c r="L382" s="56">
        <f>36825+(6*364)</f>
        <v>39009</v>
      </c>
      <c r="M382" s="43">
        <f t="shared" ca="1" si="5"/>
        <v>19</v>
      </c>
    </row>
    <row r="383" spans="1:13" x14ac:dyDescent="0.3">
      <c r="A383" s="49" t="s">
        <v>686</v>
      </c>
      <c r="B383" s="49" t="s">
        <v>146</v>
      </c>
      <c r="C383" s="50">
        <v>57414</v>
      </c>
      <c r="D383" s="51">
        <v>72759</v>
      </c>
      <c r="E383" s="52">
        <v>3035043141</v>
      </c>
      <c r="F383" s="43" t="s">
        <v>98</v>
      </c>
      <c r="G383" s="53">
        <v>118284</v>
      </c>
      <c r="H383" s="54" t="s">
        <v>70</v>
      </c>
      <c r="I383" s="54" t="s">
        <v>510</v>
      </c>
      <c r="J383" s="55" t="s">
        <v>88</v>
      </c>
      <c r="K383" s="54" t="s">
        <v>106</v>
      </c>
      <c r="L383" s="56">
        <f>42425+(6*364)</f>
        <v>44609</v>
      </c>
      <c r="M383" s="43">
        <f t="shared" ca="1" si="5"/>
        <v>3</v>
      </c>
    </row>
    <row r="384" spans="1:13" x14ac:dyDescent="0.3">
      <c r="A384" s="49" t="s">
        <v>691</v>
      </c>
      <c r="B384" s="49" t="s">
        <v>146</v>
      </c>
      <c r="C384" s="50">
        <v>45520</v>
      </c>
      <c r="D384" s="51">
        <v>111134</v>
      </c>
      <c r="E384" s="52">
        <v>9702005810</v>
      </c>
      <c r="F384" s="43"/>
      <c r="G384" s="53">
        <v>56712</v>
      </c>
      <c r="H384" s="54" t="s">
        <v>86</v>
      </c>
      <c r="I384" s="54" t="s">
        <v>670</v>
      </c>
      <c r="J384" s="55" t="s">
        <v>153</v>
      </c>
      <c r="K384" s="54" t="s">
        <v>172</v>
      </c>
      <c r="L384" s="56">
        <f>39739+(6*364)</f>
        <v>41923</v>
      </c>
      <c r="M384" s="43">
        <f t="shared" ca="1" si="5"/>
        <v>11</v>
      </c>
    </row>
    <row r="385" spans="1:13" x14ac:dyDescent="0.3">
      <c r="A385" s="49" t="s">
        <v>692</v>
      </c>
      <c r="B385" s="49" t="s">
        <v>146</v>
      </c>
      <c r="C385" s="50">
        <v>80951</v>
      </c>
      <c r="D385" s="51">
        <v>66140</v>
      </c>
      <c r="E385" s="52">
        <v>9701868104</v>
      </c>
      <c r="F385" s="43" t="s">
        <v>91</v>
      </c>
      <c r="G385" s="53">
        <v>69295</v>
      </c>
      <c r="H385" s="54" t="s">
        <v>70</v>
      </c>
      <c r="I385" s="54" t="s">
        <v>643</v>
      </c>
      <c r="J385" s="55" t="s">
        <v>78</v>
      </c>
      <c r="K385" s="54" t="s">
        <v>89</v>
      </c>
      <c r="L385" s="56">
        <f>37435+(6*364)</f>
        <v>39619</v>
      </c>
      <c r="M385" s="43">
        <f t="shared" ca="1" si="5"/>
        <v>17</v>
      </c>
    </row>
    <row r="386" spans="1:13" x14ac:dyDescent="0.3">
      <c r="A386" s="49" t="s">
        <v>694</v>
      </c>
      <c r="B386" s="49" t="s">
        <v>146</v>
      </c>
      <c r="C386" s="50">
        <v>85083</v>
      </c>
      <c r="D386" s="51">
        <v>120274</v>
      </c>
      <c r="E386" s="52">
        <v>5056335284</v>
      </c>
      <c r="F386" s="43"/>
      <c r="G386" s="53">
        <v>48721</v>
      </c>
      <c r="H386" s="54" t="s">
        <v>86</v>
      </c>
      <c r="I386" s="54" t="s">
        <v>644</v>
      </c>
      <c r="J386" s="55" t="s">
        <v>88</v>
      </c>
      <c r="K386" s="54" t="s">
        <v>106</v>
      </c>
      <c r="L386" s="56">
        <f>37766+(6*364)</f>
        <v>39950</v>
      </c>
      <c r="M386" s="43">
        <f t="shared" ref="M386:M449" ca="1" si="6">DATEDIF(L386,TODAY(),"Y")</f>
        <v>16</v>
      </c>
    </row>
    <row r="387" spans="1:13" x14ac:dyDescent="0.3">
      <c r="A387" s="49" t="s">
        <v>695</v>
      </c>
      <c r="B387" s="49" t="s">
        <v>146</v>
      </c>
      <c r="C387" s="50">
        <v>90470</v>
      </c>
      <c r="D387" s="51">
        <v>25762</v>
      </c>
      <c r="E387" s="52">
        <v>3033122603</v>
      </c>
      <c r="F387" s="43" t="s">
        <v>91</v>
      </c>
      <c r="G387" s="53">
        <v>93687</v>
      </c>
      <c r="H387" s="54" t="s">
        <v>70</v>
      </c>
      <c r="I387" s="54" t="s">
        <v>674</v>
      </c>
      <c r="J387" s="55" t="s">
        <v>88</v>
      </c>
      <c r="K387" s="54" t="s">
        <v>84</v>
      </c>
      <c r="L387" s="56">
        <f>42275+(6*364)</f>
        <v>44459</v>
      </c>
      <c r="M387" s="43">
        <f t="shared" ca="1" si="6"/>
        <v>4</v>
      </c>
    </row>
    <row r="388" spans="1:13" x14ac:dyDescent="0.3">
      <c r="A388" s="49" t="s">
        <v>696</v>
      </c>
      <c r="B388" s="49" t="s">
        <v>146</v>
      </c>
      <c r="C388" s="50">
        <v>17876</v>
      </c>
      <c r="D388" s="51">
        <v>114336</v>
      </c>
      <c r="E388" s="52">
        <v>3034924736</v>
      </c>
      <c r="F388" s="43"/>
      <c r="G388" s="53">
        <v>25992</v>
      </c>
      <c r="H388" s="54" t="s">
        <v>86</v>
      </c>
      <c r="I388" s="54" t="s">
        <v>676</v>
      </c>
      <c r="J388" s="55" t="s">
        <v>88</v>
      </c>
      <c r="K388" s="54" t="s">
        <v>158</v>
      </c>
      <c r="L388" s="56">
        <f>37883+(6*364)</f>
        <v>40067</v>
      </c>
      <c r="M388" s="43">
        <f t="shared" ca="1" si="6"/>
        <v>16</v>
      </c>
    </row>
    <row r="389" spans="1:13" x14ac:dyDescent="0.3">
      <c r="A389" s="49" t="s">
        <v>697</v>
      </c>
      <c r="B389" s="49" t="s">
        <v>146</v>
      </c>
      <c r="C389" s="50">
        <v>32032</v>
      </c>
      <c r="D389" s="51">
        <v>115908</v>
      </c>
      <c r="E389" s="52">
        <v>7192238535</v>
      </c>
      <c r="F389" s="43" t="s">
        <v>91</v>
      </c>
      <c r="G389" s="53">
        <v>46849</v>
      </c>
      <c r="H389" s="54" t="s">
        <v>70</v>
      </c>
      <c r="I389" s="54" t="s">
        <v>678</v>
      </c>
      <c r="J389" s="55" t="s">
        <v>88</v>
      </c>
      <c r="K389" s="54" t="s">
        <v>93</v>
      </c>
      <c r="L389" s="56">
        <f>35384+(6*364)</f>
        <v>37568</v>
      </c>
      <c r="M389" s="43">
        <f t="shared" ca="1" si="6"/>
        <v>23</v>
      </c>
    </row>
    <row r="390" spans="1:13" x14ac:dyDescent="0.3">
      <c r="A390" s="49" t="s">
        <v>699</v>
      </c>
      <c r="B390" s="49" t="s">
        <v>146</v>
      </c>
      <c r="C390" s="50">
        <v>67776</v>
      </c>
      <c r="D390" s="51">
        <v>97106</v>
      </c>
      <c r="E390" s="52">
        <v>5058865267</v>
      </c>
      <c r="F390" s="43"/>
      <c r="G390" s="53">
        <v>78357</v>
      </c>
      <c r="H390" s="54" t="s">
        <v>86</v>
      </c>
      <c r="I390" s="54" t="s">
        <v>680</v>
      </c>
      <c r="J390" s="55" t="s">
        <v>78</v>
      </c>
      <c r="K390" s="54" t="s">
        <v>136</v>
      </c>
      <c r="L390" s="56">
        <f>38817+(6*364)</f>
        <v>41001</v>
      </c>
      <c r="M390" s="43">
        <f t="shared" ca="1" si="6"/>
        <v>13</v>
      </c>
    </row>
    <row r="391" spans="1:13" x14ac:dyDescent="0.3">
      <c r="A391" s="49" t="s">
        <v>353</v>
      </c>
      <c r="B391" s="49" t="s">
        <v>128</v>
      </c>
      <c r="C391" s="50">
        <v>88615</v>
      </c>
      <c r="D391" s="51">
        <v>110960</v>
      </c>
      <c r="E391" s="52">
        <v>3031362796</v>
      </c>
      <c r="F391" s="43"/>
      <c r="G391" s="53">
        <v>93425</v>
      </c>
      <c r="H391" s="54" t="s">
        <v>86</v>
      </c>
      <c r="I391" s="54" t="s">
        <v>681</v>
      </c>
      <c r="J391" s="55" t="s">
        <v>100</v>
      </c>
      <c r="K391" s="54" t="s">
        <v>158</v>
      </c>
      <c r="L391" s="56">
        <f>38100+(6*364)</f>
        <v>40284</v>
      </c>
      <c r="M391" s="43">
        <f t="shared" ca="1" si="6"/>
        <v>15</v>
      </c>
    </row>
    <row r="392" spans="1:13" x14ac:dyDescent="0.3">
      <c r="A392" s="49" t="s">
        <v>702</v>
      </c>
      <c r="B392" s="49" t="s">
        <v>128</v>
      </c>
      <c r="C392" s="50">
        <v>60335</v>
      </c>
      <c r="D392" s="51">
        <v>98576</v>
      </c>
      <c r="E392" s="52">
        <v>7198451642</v>
      </c>
      <c r="F392" s="43" t="s">
        <v>91</v>
      </c>
      <c r="G392" s="53">
        <v>107416</v>
      </c>
      <c r="H392" s="54" t="s">
        <v>70</v>
      </c>
      <c r="I392" s="54" t="s">
        <v>683</v>
      </c>
      <c r="J392" s="55" t="s">
        <v>78</v>
      </c>
      <c r="K392" s="54" t="s">
        <v>93</v>
      </c>
      <c r="L392" s="56">
        <f>35595+(6*364)</f>
        <v>37779</v>
      </c>
      <c r="M392" s="43">
        <f t="shared" ca="1" si="6"/>
        <v>22</v>
      </c>
    </row>
    <row r="393" spans="1:13" x14ac:dyDescent="0.3">
      <c r="A393" s="49" t="s">
        <v>704</v>
      </c>
      <c r="B393" s="49" t="s">
        <v>128</v>
      </c>
      <c r="C393" s="50">
        <v>42660</v>
      </c>
      <c r="D393" s="51">
        <v>56489</v>
      </c>
      <c r="E393" s="52">
        <v>3036532463</v>
      </c>
      <c r="F393" s="43"/>
      <c r="G393" s="53">
        <v>47849</v>
      </c>
      <c r="H393" s="54" t="s">
        <v>108</v>
      </c>
      <c r="I393" s="54" t="s">
        <v>646</v>
      </c>
      <c r="J393" s="55" t="s">
        <v>72</v>
      </c>
      <c r="K393" s="54" t="s">
        <v>146</v>
      </c>
      <c r="L393" s="56">
        <f>37045+(6*364)</f>
        <v>39229</v>
      </c>
      <c r="M393" s="43">
        <f t="shared" ca="1" si="6"/>
        <v>18</v>
      </c>
    </row>
    <row r="394" spans="1:13" x14ac:dyDescent="0.3">
      <c r="A394" s="49" t="s">
        <v>705</v>
      </c>
      <c r="B394" s="49" t="s">
        <v>128</v>
      </c>
      <c r="C394" s="50">
        <v>92039</v>
      </c>
      <c r="D394" s="51">
        <v>71841</v>
      </c>
      <c r="E394" s="52">
        <v>5056503334</v>
      </c>
      <c r="F394" s="43" t="s">
        <v>98</v>
      </c>
      <c r="G394" s="53">
        <v>63541</v>
      </c>
      <c r="H394" s="54" t="s">
        <v>70</v>
      </c>
      <c r="I394" s="54" t="s">
        <v>684</v>
      </c>
      <c r="J394" s="55" t="s">
        <v>88</v>
      </c>
      <c r="K394" s="54" t="s">
        <v>106</v>
      </c>
      <c r="L394" s="56">
        <f>37010+(6*364)</f>
        <v>39194</v>
      </c>
      <c r="M394" s="43">
        <f t="shared" ca="1" si="6"/>
        <v>18</v>
      </c>
    </row>
    <row r="395" spans="1:13" x14ac:dyDescent="0.3">
      <c r="A395" s="49" t="s">
        <v>102</v>
      </c>
      <c r="B395" s="49" t="s">
        <v>103</v>
      </c>
      <c r="C395" s="50">
        <v>69040</v>
      </c>
      <c r="D395" s="51">
        <v>96072</v>
      </c>
      <c r="E395" s="52">
        <v>3035399385</v>
      </c>
      <c r="F395" s="43" t="s">
        <v>91</v>
      </c>
      <c r="G395" s="53">
        <v>115221</v>
      </c>
      <c r="H395" s="54" t="s">
        <v>70</v>
      </c>
      <c r="I395" s="54" t="s">
        <v>371</v>
      </c>
      <c r="J395" s="55" t="s">
        <v>83</v>
      </c>
      <c r="K395" s="54" t="s">
        <v>204</v>
      </c>
      <c r="L395" s="56">
        <f>35437+(6*364)</f>
        <v>37621</v>
      </c>
      <c r="M395" s="43">
        <f t="shared" ca="1" si="6"/>
        <v>22</v>
      </c>
    </row>
    <row r="396" spans="1:13" x14ac:dyDescent="0.3">
      <c r="A396" s="49" t="s">
        <v>167</v>
      </c>
      <c r="B396" s="49" t="s">
        <v>103</v>
      </c>
      <c r="C396" s="50">
        <v>85315</v>
      </c>
      <c r="D396" s="51">
        <v>78157</v>
      </c>
      <c r="E396" s="52">
        <v>9706555049</v>
      </c>
      <c r="F396" s="43" t="s">
        <v>91</v>
      </c>
      <c r="G396" s="53">
        <v>68854</v>
      </c>
      <c r="H396" s="54" t="s">
        <v>70</v>
      </c>
      <c r="I396" s="54" t="s">
        <v>514</v>
      </c>
      <c r="J396" s="55" t="s">
        <v>72</v>
      </c>
      <c r="K396" s="54" t="s">
        <v>93</v>
      </c>
      <c r="L396" s="56">
        <f>42362+(6*364)</f>
        <v>44546</v>
      </c>
      <c r="M396" s="43">
        <f t="shared" ca="1" si="6"/>
        <v>4</v>
      </c>
    </row>
    <row r="397" spans="1:13" x14ac:dyDescent="0.3">
      <c r="A397" s="49" t="s">
        <v>318</v>
      </c>
      <c r="B397" s="49" t="s">
        <v>103</v>
      </c>
      <c r="C397" s="50">
        <v>11899</v>
      </c>
      <c r="D397" s="51">
        <v>70037</v>
      </c>
      <c r="E397" s="52">
        <v>9703708610</v>
      </c>
      <c r="F397" s="43" t="s">
        <v>91</v>
      </c>
      <c r="G397" s="53">
        <v>122073</v>
      </c>
      <c r="H397" s="54" t="s">
        <v>70</v>
      </c>
      <c r="I397" s="54" t="s">
        <v>685</v>
      </c>
      <c r="J397" s="55" t="s">
        <v>78</v>
      </c>
      <c r="K397" s="54" t="s">
        <v>93</v>
      </c>
      <c r="L397" s="56">
        <f>36913+(6*364)</f>
        <v>39097</v>
      </c>
      <c r="M397" s="43">
        <f t="shared" ca="1" si="6"/>
        <v>18</v>
      </c>
    </row>
    <row r="398" spans="1:13" x14ac:dyDescent="0.3">
      <c r="A398" s="49" t="s">
        <v>329</v>
      </c>
      <c r="B398" s="49" t="s">
        <v>103</v>
      </c>
      <c r="C398" s="50">
        <v>77222</v>
      </c>
      <c r="D398" s="51">
        <v>69470</v>
      </c>
      <c r="E398" s="52">
        <v>9701191599</v>
      </c>
      <c r="F398" s="43" t="s">
        <v>75</v>
      </c>
      <c r="G398" s="53">
        <v>122178</v>
      </c>
      <c r="H398" s="54" t="s">
        <v>70</v>
      </c>
      <c r="I398" s="54" t="s">
        <v>228</v>
      </c>
      <c r="J398" s="55" t="s">
        <v>78</v>
      </c>
      <c r="K398" s="54" t="s">
        <v>172</v>
      </c>
      <c r="L398" s="56">
        <f>37994+(6*364)</f>
        <v>40178</v>
      </c>
      <c r="M398" s="43">
        <f t="shared" ca="1" si="6"/>
        <v>15</v>
      </c>
    </row>
    <row r="399" spans="1:13" x14ac:dyDescent="0.3">
      <c r="A399" s="49" t="s">
        <v>346</v>
      </c>
      <c r="B399" s="49" t="s">
        <v>103</v>
      </c>
      <c r="C399" s="50">
        <v>29445</v>
      </c>
      <c r="D399" s="51">
        <v>59197</v>
      </c>
      <c r="E399" s="52">
        <v>5055060466</v>
      </c>
      <c r="F399" s="43" t="s">
        <v>98</v>
      </c>
      <c r="G399" s="53">
        <v>52886</v>
      </c>
      <c r="H399" s="54" t="s">
        <v>76</v>
      </c>
      <c r="I399" s="54" t="s">
        <v>686</v>
      </c>
      <c r="J399" s="55" t="s">
        <v>72</v>
      </c>
      <c r="K399" s="54" t="s">
        <v>89</v>
      </c>
      <c r="L399" s="56">
        <f>40301+(6*364)</f>
        <v>42485</v>
      </c>
      <c r="M399" s="43">
        <f t="shared" ca="1" si="6"/>
        <v>9</v>
      </c>
    </row>
    <row r="400" spans="1:13" x14ac:dyDescent="0.3">
      <c r="A400" s="49" t="s">
        <v>354</v>
      </c>
      <c r="B400" s="49" t="s">
        <v>103</v>
      </c>
      <c r="C400" s="50">
        <v>48124</v>
      </c>
      <c r="D400" s="51">
        <v>122704</v>
      </c>
      <c r="E400" s="52">
        <v>3037925201</v>
      </c>
      <c r="F400" s="43" t="s">
        <v>69</v>
      </c>
      <c r="G400" s="53">
        <v>77232</v>
      </c>
      <c r="H400" s="54" t="s">
        <v>70</v>
      </c>
      <c r="I400" s="54" t="s">
        <v>687</v>
      </c>
      <c r="J400" s="55" t="s">
        <v>78</v>
      </c>
      <c r="K400" s="54" t="s">
        <v>84</v>
      </c>
      <c r="L400" s="56">
        <f>35147+(6*364)</f>
        <v>37331</v>
      </c>
      <c r="M400" s="43">
        <f t="shared" ca="1" si="6"/>
        <v>23</v>
      </c>
    </row>
    <row r="401" spans="1:13" x14ac:dyDescent="0.3">
      <c r="A401" s="49" t="s">
        <v>390</v>
      </c>
      <c r="B401" s="49" t="s">
        <v>103</v>
      </c>
      <c r="C401" s="50">
        <v>12206</v>
      </c>
      <c r="D401" s="51">
        <v>72927</v>
      </c>
      <c r="E401" s="52">
        <v>3034248455</v>
      </c>
      <c r="F401" s="43" t="s">
        <v>91</v>
      </c>
      <c r="G401" s="53">
        <v>120553</v>
      </c>
      <c r="H401" s="54" t="s">
        <v>70</v>
      </c>
      <c r="I401" s="54" t="s">
        <v>648</v>
      </c>
      <c r="J401" s="55" t="s">
        <v>88</v>
      </c>
      <c r="K401" s="54" t="s">
        <v>84</v>
      </c>
      <c r="L401" s="56">
        <f>42371+(6*364)</f>
        <v>44555</v>
      </c>
      <c r="M401" s="43">
        <f t="shared" ca="1" si="6"/>
        <v>3</v>
      </c>
    </row>
    <row r="402" spans="1:13" x14ac:dyDescent="0.3">
      <c r="A402" s="49" t="s">
        <v>393</v>
      </c>
      <c r="B402" s="49" t="s">
        <v>103</v>
      </c>
      <c r="C402" s="50">
        <v>34078</v>
      </c>
      <c r="D402" s="51">
        <v>116300</v>
      </c>
      <c r="E402" s="52">
        <v>3035871924</v>
      </c>
      <c r="F402" s="43"/>
      <c r="G402" s="53">
        <v>72676</v>
      </c>
      <c r="H402" s="54" t="s">
        <v>86</v>
      </c>
      <c r="I402" s="54" t="s">
        <v>518</v>
      </c>
      <c r="J402" s="55" t="s">
        <v>153</v>
      </c>
      <c r="K402" s="54" t="s">
        <v>89</v>
      </c>
      <c r="L402" s="56">
        <f>35675+(6*364)</f>
        <v>37859</v>
      </c>
      <c r="M402" s="43">
        <f t="shared" ca="1" si="6"/>
        <v>22</v>
      </c>
    </row>
    <row r="403" spans="1:13" x14ac:dyDescent="0.3">
      <c r="A403" s="49" t="s">
        <v>407</v>
      </c>
      <c r="B403" s="49" t="s">
        <v>103</v>
      </c>
      <c r="C403" s="50">
        <v>93074</v>
      </c>
      <c r="D403" s="51">
        <v>74883</v>
      </c>
      <c r="E403" s="52">
        <v>9704562999</v>
      </c>
      <c r="F403" s="43" t="s">
        <v>81</v>
      </c>
      <c r="G403" s="53">
        <v>100330</v>
      </c>
      <c r="H403" s="54" t="s">
        <v>70</v>
      </c>
      <c r="I403" s="54" t="s">
        <v>689</v>
      </c>
      <c r="J403" s="55" t="s">
        <v>88</v>
      </c>
      <c r="K403" s="54" t="s">
        <v>84</v>
      </c>
      <c r="L403" s="56">
        <f>41207+(6*364)</f>
        <v>43391</v>
      </c>
      <c r="M403" s="43">
        <f t="shared" ca="1" si="6"/>
        <v>7</v>
      </c>
    </row>
    <row r="404" spans="1:13" x14ac:dyDescent="0.3">
      <c r="A404" s="49" t="s">
        <v>711</v>
      </c>
      <c r="B404" s="49" t="s">
        <v>103</v>
      </c>
      <c r="C404" s="50">
        <v>79124</v>
      </c>
      <c r="D404" s="51">
        <v>105590</v>
      </c>
      <c r="E404" s="52">
        <v>7192792063</v>
      </c>
      <c r="F404" s="43" t="s">
        <v>81</v>
      </c>
      <c r="G404" s="53">
        <v>40221</v>
      </c>
      <c r="H404" s="54" t="s">
        <v>70</v>
      </c>
      <c r="I404" s="54" t="s">
        <v>230</v>
      </c>
      <c r="J404" s="55" t="s">
        <v>88</v>
      </c>
      <c r="K404" s="54" t="s">
        <v>89</v>
      </c>
      <c r="L404" s="56">
        <f>38561+(6*364)</f>
        <v>40745</v>
      </c>
      <c r="M404" s="43">
        <f t="shared" ca="1" si="6"/>
        <v>14</v>
      </c>
    </row>
    <row r="405" spans="1:13" x14ac:dyDescent="0.3">
      <c r="A405" s="49" t="s">
        <v>454</v>
      </c>
      <c r="B405" s="49" t="s">
        <v>103</v>
      </c>
      <c r="C405" s="50">
        <v>42425</v>
      </c>
      <c r="D405" s="51">
        <v>112896</v>
      </c>
      <c r="E405" s="52">
        <v>5052729524</v>
      </c>
      <c r="F405" s="43" t="s">
        <v>91</v>
      </c>
      <c r="G405" s="53">
        <v>115908</v>
      </c>
      <c r="H405" s="54" t="s">
        <v>70</v>
      </c>
      <c r="I405" s="54" t="s">
        <v>690</v>
      </c>
      <c r="J405" s="55" t="s">
        <v>72</v>
      </c>
      <c r="K405" s="54" t="s">
        <v>89</v>
      </c>
      <c r="L405" s="56">
        <f>37906+(6*364)</f>
        <v>40090</v>
      </c>
      <c r="M405" s="43">
        <f t="shared" ca="1" si="6"/>
        <v>16</v>
      </c>
    </row>
    <row r="406" spans="1:13" x14ac:dyDescent="0.3">
      <c r="A406" s="49" t="s">
        <v>469</v>
      </c>
      <c r="B406" s="49" t="s">
        <v>103</v>
      </c>
      <c r="C406" s="50">
        <v>66196</v>
      </c>
      <c r="D406" s="51">
        <v>103698</v>
      </c>
      <c r="E406" s="52">
        <v>3032390604</v>
      </c>
      <c r="F406" s="43" t="s">
        <v>81</v>
      </c>
      <c r="G406" s="53">
        <v>60847</v>
      </c>
      <c r="H406" s="54" t="s">
        <v>70</v>
      </c>
      <c r="I406" s="54" t="s">
        <v>112</v>
      </c>
      <c r="J406" s="55" t="s">
        <v>72</v>
      </c>
      <c r="K406" s="54" t="s">
        <v>106</v>
      </c>
      <c r="L406" s="56">
        <f>35819+(6*364)</f>
        <v>38003</v>
      </c>
      <c r="M406" s="43">
        <f t="shared" ca="1" si="6"/>
        <v>21</v>
      </c>
    </row>
    <row r="407" spans="1:13" x14ac:dyDescent="0.3">
      <c r="A407" s="49" t="s">
        <v>477</v>
      </c>
      <c r="B407" s="49" t="s">
        <v>103</v>
      </c>
      <c r="C407" s="50">
        <v>23139</v>
      </c>
      <c r="D407" s="51">
        <v>30983</v>
      </c>
      <c r="E407" s="52">
        <v>7195876028</v>
      </c>
      <c r="F407" s="43" t="s">
        <v>98</v>
      </c>
      <c r="G407" s="53">
        <v>72950</v>
      </c>
      <c r="H407" s="54" t="s">
        <v>76</v>
      </c>
      <c r="I407" s="54" t="s">
        <v>232</v>
      </c>
      <c r="J407" s="55" t="s">
        <v>72</v>
      </c>
      <c r="K407" s="54" t="s">
        <v>89</v>
      </c>
      <c r="L407" s="56">
        <f>37113+(6*364)</f>
        <v>39297</v>
      </c>
      <c r="M407" s="43">
        <f t="shared" ca="1" si="6"/>
        <v>18</v>
      </c>
    </row>
    <row r="408" spans="1:13" x14ac:dyDescent="0.3">
      <c r="A408" s="49" t="s">
        <v>511</v>
      </c>
      <c r="B408" s="49" t="s">
        <v>103</v>
      </c>
      <c r="C408" s="50">
        <v>17816</v>
      </c>
      <c r="D408" s="51">
        <v>133270</v>
      </c>
      <c r="E408" s="52">
        <v>5058399625</v>
      </c>
      <c r="F408" s="43" t="s">
        <v>98</v>
      </c>
      <c r="G408" s="53">
        <v>125212</v>
      </c>
      <c r="H408" s="54" t="s">
        <v>70</v>
      </c>
      <c r="I408" s="54" t="s">
        <v>693</v>
      </c>
      <c r="J408" s="55" t="s">
        <v>153</v>
      </c>
      <c r="K408" s="54" t="s">
        <v>93</v>
      </c>
      <c r="L408" s="56">
        <f>41652+(6*364)</f>
        <v>43836</v>
      </c>
      <c r="M408" s="43">
        <f t="shared" ca="1" si="6"/>
        <v>5</v>
      </c>
    </row>
    <row r="409" spans="1:13" x14ac:dyDescent="0.3">
      <c r="A409" s="49" t="s">
        <v>513</v>
      </c>
      <c r="B409" s="49" t="s">
        <v>103</v>
      </c>
      <c r="C409" s="50">
        <v>83819</v>
      </c>
      <c r="D409" s="51">
        <v>135918</v>
      </c>
      <c r="E409" s="52">
        <v>7194633649</v>
      </c>
      <c r="F409" s="43" t="s">
        <v>75</v>
      </c>
      <c r="G409" s="53">
        <v>48785</v>
      </c>
      <c r="H409" s="54" t="s">
        <v>70</v>
      </c>
      <c r="I409" s="54" t="s">
        <v>287</v>
      </c>
      <c r="J409" s="55" t="s">
        <v>72</v>
      </c>
      <c r="K409" s="54" t="s">
        <v>84</v>
      </c>
      <c r="L409" s="56">
        <f>35530+(6*364)</f>
        <v>37714</v>
      </c>
      <c r="M409" s="43">
        <f t="shared" ca="1" si="6"/>
        <v>22</v>
      </c>
    </row>
    <row r="410" spans="1:13" x14ac:dyDescent="0.3">
      <c r="A410" s="49" t="s">
        <v>519</v>
      </c>
      <c r="B410" s="49" t="s">
        <v>103</v>
      </c>
      <c r="C410" s="50">
        <v>16389</v>
      </c>
      <c r="D410" s="51">
        <v>119895</v>
      </c>
      <c r="E410" s="52">
        <v>3036408497</v>
      </c>
      <c r="F410" s="43" t="s">
        <v>98</v>
      </c>
      <c r="G410" s="53">
        <v>104895</v>
      </c>
      <c r="H410" s="54" t="s">
        <v>70</v>
      </c>
      <c r="I410" s="54" t="s">
        <v>326</v>
      </c>
      <c r="J410" s="55" t="s">
        <v>78</v>
      </c>
      <c r="K410" s="54" t="s">
        <v>523</v>
      </c>
      <c r="L410" s="56">
        <f>38997+(6*364)</f>
        <v>41181</v>
      </c>
      <c r="M410" s="43">
        <f t="shared" ca="1" si="6"/>
        <v>13</v>
      </c>
    </row>
    <row r="411" spans="1:13" x14ac:dyDescent="0.3">
      <c r="A411" s="49" t="s">
        <v>526</v>
      </c>
      <c r="B411" s="49" t="s">
        <v>103</v>
      </c>
      <c r="C411" s="50">
        <v>93988</v>
      </c>
      <c r="D411" s="51">
        <v>58040</v>
      </c>
      <c r="E411" s="52">
        <v>9703858464</v>
      </c>
      <c r="F411" s="43"/>
      <c r="G411" s="53">
        <v>122163</v>
      </c>
      <c r="H411" s="54" t="s">
        <v>108</v>
      </c>
      <c r="I411" s="54" t="s">
        <v>649</v>
      </c>
      <c r="J411" s="55" t="s">
        <v>88</v>
      </c>
      <c r="K411" s="54" t="s">
        <v>172</v>
      </c>
      <c r="L411" s="56">
        <f>35345+(6*364)</f>
        <v>37529</v>
      </c>
      <c r="M411" s="43">
        <f t="shared" ca="1" si="6"/>
        <v>23</v>
      </c>
    </row>
    <row r="412" spans="1:13" x14ac:dyDescent="0.3">
      <c r="A412" s="49" t="s">
        <v>542</v>
      </c>
      <c r="B412" s="49" t="s">
        <v>103</v>
      </c>
      <c r="C412" s="50">
        <v>62620</v>
      </c>
      <c r="D412" s="51">
        <v>98415</v>
      </c>
      <c r="E412" s="52">
        <v>9707515181</v>
      </c>
      <c r="F412" s="43" t="s">
        <v>98</v>
      </c>
      <c r="G412" s="53">
        <v>124835</v>
      </c>
      <c r="H412" s="54" t="s">
        <v>70</v>
      </c>
      <c r="I412" s="54" t="s">
        <v>698</v>
      </c>
      <c r="J412" s="55" t="s">
        <v>83</v>
      </c>
      <c r="K412" s="54" t="s">
        <v>79</v>
      </c>
      <c r="L412" s="56">
        <f>38989+(6*364)</f>
        <v>41173</v>
      </c>
      <c r="M412" s="43">
        <f t="shared" ca="1" si="6"/>
        <v>13</v>
      </c>
    </row>
    <row r="413" spans="1:13" x14ac:dyDescent="0.3">
      <c r="A413" s="49" t="s">
        <v>546</v>
      </c>
      <c r="B413" s="49" t="s">
        <v>103</v>
      </c>
      <c r="C413" s="50">
        <v>36718</v>
      </c>
      <c r="D413" s="51">
        <v>69789</v>
      </c>
      <c r="E413" s="52">
        <v>3034713634</v>
      </c>
      <c r="F413" s="43" t="s">
        <v>91</v>
      </c>
      <c r="G413" s="53">
        <v>129322</v>
      </c>
      <c r="H413" s="54" t="s">
        <v>70</v>
      </c>
      <c r="I413" s="54" t="s">
        <v>700</v>
      </c>
      <c r="J413" s="55" t="s">
        <v>72</v>
      </c>
      <c r="K413" s="54" t="s">
        <v>89</v>
      </c>
      <c r="L413" s="56">
        <f>39318+(6*364)</f>
        <v>41502</v>
      </c>
      <c r="M413" s="43">
        <f t="shared" ca="1" si="6"/>
        <v>12</v>
      </c>
    </row>
    <row r="414" spans="1:13" x14ac:dyDescent="0.3">
      <c r="A414" s="49" t="s">
        <v>589</v>
      </c>
      <c r="B414" s="49" t="s">
        <v>103</v>
      </c>
      <c r="C414" s="50">
        <v>79112</v>
      </c>
      <c r="D414" s="51">
        <v>104455</v>
      </c>
      <c r="E414" s="52">
        <v>9706865606</v>
      </c>
      <c r="F414" s="43"/>
      <c r="G414" s="53">
        <v>58542</v>
      </c>
      <c r="H414" s="54" t="s">
        <v>86</v>
      </c>
      <c r="I414" s="54" t="s">
        <v>701</v>
      </c>
      <c r="J414" s="55" t="s">
        <v>72</v>
      </c>
      <c r="K414" s="54" t="s">
        <v>103</v>
      </c>
      <c r="L414" s="56">
        <f>35566+(6*364)</f>
        <v>37750</v>
      </c>
      <c r="M414" s="43">
        <f t="shared" ca="1" si="6"/>
        <v>22</v>
      </c>
    </row>
    <row r="415" spans="1:13" x14ac:dyDescent="0.3">
      <c r="A415" s="49" t="s">
        <v>597</v>
      </c>
      <c r="B415" s="49" t="s">
        <v>103</v>
      </c>
      <c r="C415" s="50">
        <v>36824</v>
      </c>
      <c r="D415" s="51">
        <v>120056</v>
      </c>
      <c r="E415" s="52">
        <v>3034072342</v>
      </c>
      <c r="F415" s="43" t="s">
        <v>98</v>
      </c>
      <c r="G415" s="53">
        <v>120892</v>
      </c>
      <c r="H415" s="54" t="s">
        <v>70</v>
      </c>
      <c r="I415" s="54" t="s">
        <v>703</v>
      </c>
      <c r="J415" s="55" t="s">
        <v>78</v>
      </c>
      <c r="K415" s="54" t="s">
        <v>172</v>
      </c>
      <c r="L415" s="56">
        <f>35180+(6*364)</f>
        <v>37364</v>
      </c>
      <c r="M415" s="43">
        <f t="shared" ca="1" si="6"/>
        <v>23</v>
      </c>
    </row>
    <row r="416" spans="1:13" x14ac:dyDescent="0.3">
      <c r="A416" s="49" t="s">
        <v>613</v>
      </c>
      <c r="B416" s="49" t="s">
        <v>103</v>
      </c>
      <c r="C416" s="50">
        <v>54611</v>
      </c>
      <c r="D416" s="51">
        <v>106331</v>
      </c>
      <c r="E416" s="52">
        <v>9701384592</v>
      </c>
      <c r="F416" s="43" t="s">
        <v>91</v>
      </c>
      <c r="G416" s="53">
        <v>62324</v>
      </c>
      <c r="H416" s="54" t="s">
        <v>76</v>
      </c>
      <c r="I416" s="54" t="s">
        <v>375</v>
      </c>
      <c r="J416" s="55" t="s">
        <v>78</v>
      </c>
      <c r="K416" s="54" t="s">
        <v>172</v>
      </c>
      <c r="L416" s="56">
        <f>35934+(6*364)</f>
        <v>38118</v>
      </c>
      <c r="M416" s="43">
        <f t="shared" ca="1" si="6"/>
        <v>21</v>
      </c>
    </row>
    <row r="417" spans="1:13" x14ac:dyDescent="0.3">
      <c r="A417" s="49" t="s">
        <v>716</v>
      </c>
      <c r="B417" s="49" t="s">
        <v>103</v>
      </c>
      <c r="C417" s="50">
        <v>90905</v>
      </c>
      <c r="D417" s="51">
        <v>98780</v>
      </c>
      <c r="E417" s="52">
        <v>5058211050</v>
      </c>
      <c r="F417" s="43"/>
      <c r="G417" s="53">
        <v>72142</v>
      </c>
      <c r="H417" s="54" t="s">
        <v>108</v>
      </c>
      <c r="I417" s="54" t="s">
        <v>651</v>
      </c>
      <c r="J417" s="55" t="s">
        <v>72</v>
      </c>
      <c r="K417" s="54" t="s">
        <v>93</v>
      </c>
      <c r="L417" s="56">
        <f>37952+(6*364)</f>
        <v>40136</v>
      </c>
      <c r="M417" s="43">
        <f t="shared" ca="1" si="6"/>
        <v>16</v>
      </c>
    </row>
    <row r="418" spans="1:13" x14ac:dyDescent="0.3">
      <c r="A418" s="49" t="s">
        <v>678</v>
      </c>
      <c r="B418" s="49" t="s">
        <v>103</v>
      </c>
      <c r="C418" s="50">
        <v>17097</v>
      </c>
      <c r="D418" s="51">
        <v>115079</v>
      </c>
      <c r="E418" s="52">
        <v>7193891189</v>
      </c>
      <c r="F418" s="43" t="s">
        <v>91</v>
      </c>
      <c r="G418" s="53">
        <v>121668</v>
      </c>
      <c r="H418" s="54" t="s">
        <v>70</v>
      </c>
      <c r="I418" s="54" t="s">
        <v>706</v>
      </c>
      <c r="J418" s="55" t="s">
        <v>78</v>
      </c>
      <c r="K418" s="54" t="s">
        <v>172</v>
      </c>
      <c r="L418" s="56">
        <f>41739+(6*364)</f>
        <v>43923</v>
      </c>
      <c r="M418" s="43">
        <f t="shared" ca="1" si="6"/>
        <v>5</v>
      </c>
    </row>
    <row r="419" spans="1:13" x14ac:dyDescent="0.3">
      <c r="A419" s="49" t="s">
        <v>681</v>
      </c>
      <c r="B419" s="49" t="s">
        <v>103</v>
      </c>
      <c r="C419" s="50">
        <v>31925</v>
      </c>
      <c r="D419" s="51">
        <v>66627</v>
      </c>
      <c r="E419" s="52">
        <v>7194652136</v>
      </c>
      <c r="F419" s="43" t="s">
        <v>91</v>
      </c>
      <c r="G419" s="53">
        <v>95345</v>
      </c>
      <c r="H419" s="54" t="s">
        <v>70</v>
      </c>
      <c r="I419" s="54" t="s">
        <v>707</v>
      </c>
      <c r="J419" s="55" t="s">
        <v>83</v>
      </c>
      <c r="K419" s="54" t="s">
        <v>523</v>
      </c>
      <c r="L419" s="56">
        <f>39608+(6*364)</f>
        <v>41792</v>
      </c>
      <c r="M419" s="43">
        <f t="shared" ca="1" si="6"/>
        <v>11</v>
      </c>
    </row>
    <row r="420" spans="1:13" x14ac:dyDescent="0.3">
      <c r="A420" s="49" t="s">
        <v>687</v>
      </c>
      <c r="B420" s="49" t="s">
        <v>103</v>
      </c>
      <c r="C420" s="50">
        <v>66086</v>
      </c>
      <c r="D420" s="51">
        <v>67797</v>
      </c>
      <c r="E420" s="52">
        <v>7192042331</v>
      </c>
      <c r="F420" s="43" t="s">
        <v>81</v>
      </c>
      <c r="G420" s="53">
        <v>102010</v>
      </c>
      <c r="H420" s="54" t="s">
        <v>70</v>
      </c>
      <c r="I420" s="54" t="s">
        <v>328</v>
      </c>
      <c r="J420" s="55" t="s">
        <v>78</v>
      </c>
      <c r="K420" s="54" t="s">
        <v>95</v>
      </c>
      <c r="L420" s="56">
        <f>38701+(6*364)</f>
        <v>40885</v>
      </c>
      <c r="M420" s="43">
        <f t="shared" ca="1" si="6"/>
        <v>14</v>
      </c>
    </row>
    <row r="421" spans="1:13" x14ac:dyDescent="0.3">
      <c r="A421" s="49" t="s">
        <v>718</v>
      </c>
      <c r="B421" s="49" t="s">
        <v>103</v>
      </c>
      <c r="C421" s="50">
        <v>40046</v>
      </c>
      <c r="D421" s="51">
        <v>64972</v>
      </c>
      <c r="E421" s="52">
        <v>5052520526</v>
      </c>
      <c r="F421" s="43" t="s">
        <v>75</v>
      </c>
      <c r="G421" s="53">
        <v>47889</v>
      </c>
      <c r="H421" s="54" t="s">
        <v>70</v>
      </c>
      <c r="I421" s="54" t="s">
        <v>652</v>
      </c>
      <c r="J421" s="55" t="s">
        <v>88</v>
      </c>
      <c r="K421" s="54" t="s">
        <v>103</v>
      </c>
      <c r="L421" s="56">
        <f>42376+(6*364)</f>
        <v>44560</v>
      </c>
      <c r="M421" s="43">
        <f t="shared" ca="1" si="6"/>
        <v>3</v>
      </c>
    </row>
    <row r="422" spans="1:13" x14ac:dyDescent="0.3">
      <c r="A422" s="49" t="s">
        <v>720</v>
      </c>
      <c r="B422" s="49" t="s">
        <v>103</v>
      </c>
      <c r="C422" s="50">
        <v>57165</v>
      </c>
      <c r="D422" s="51">
        <v>75459</v>
      </c>
      <c r="E422" s="52">
        <v>3033164024</v>
      </c>
      <c r="F422" s="43"/>
      <c r="G422" s="53">
        <v>68049</v>
      </c>
      <c r="H422" s="54" t="s">
        <v>86</v>
      </c>
      <c r="I422" s="54" t="s">
        <v>708</v>
      </c>
      <c r="J422" s="55" t="s">
        <v>83</v>
      </c>
      <c r="K422" s="54" t="s">
        <v>79</v>
      </c>
      <c r="L422" s="56">
        <f>38382+(6*364)</f>
        <v>40566</v>
      </c>
      <c r="M422" s="43">
        <f t="shared" ca="1" si="6"/>
        <v>14</v>
      </c>
    </row>
    <row r="423" spans="1:13" x14ac:dyDescent="0.3">
      <c r="A423" s="49" t="s">
        <v>722</v>
      </c>
      <c r="B423" s="49" t="s">
        <v>103</v>
      </c>
      <c r="C423" s="50">
        <v>66453</v>
      </c>
      <c r="D423" s="51">
        <v>48911</v>
      </c>
      <c r="E423" s="52">
        <v>3035777345</v>
      </c>
      <c r="F423" s="43" t="s">
        <v>98</v>
      </c>
      <c r="G423" s="53">
        <v>117154</v>
      </c>
      <c r="H423" s="54" t="s">
        <v>70</v>
      </c>
      <c r="I423" s="54" t="s">
        <v>520</v>
      </c>
      <c r="J423" s="55" t="s">
        <v>72</v>
      </c>
      <c r="K423" s="54" t="s">
        <v>73</v>
      </c>
      <c r="L423" s="56">
        <f>40059+(6*364)</f>
        <v>42243</v>
      </c>
      <c r="M423" s="43">
        <f t="shared" ca="1" si="6"/>
        <v>10</v>
      </c>
    </row>
    <row r="424" spans="1:13" x14ac:dyDescent="0.3">
      <c r="A424" s="49" t="s">
        <v>723</v>
      </c>
      <c r="B424" s="49" t="s">
        <v>103</v>
      </c>
      <c r="C424" s="50">
        <v>79169</v>
      </c>
      <c r="D424" s="51">
        <v>74809</v>
      </c>
      <c r="E424" s="52">
        <v>3032304625</v>
      </c>
      <c r="F424" s="43" t="s">
        <v>75</v>
      </c>
      <c r="G424" s="53">
        <v>38334</v>
      </c>
      <c r="H424" s="54" t="s">
        <v>76</v>
      </c>
      <c r="I424" s="54" t="s">
        <v>709</v>
      </c>
      <c r="J424" s="55" t="s">
        <v>88</v>
      </c>
      <c r="K424" s="54" t="s">
        <v>89</v>
      </c>
      <c r="L424" s="56">
        <f>39360+(6*364)</f>
        <v>41544</v>
      </c>
      <c r="M424" s="43">
        <f t="shared" ca="1" si="6"/>
        <v>12</v>
      </c>
    </row>
    <row r="425" spans="1:13" x14ac:dyDescent="0.3">
      <c r="A425" s="49" t="s">
        <v>724</v>
      </c>
      <c r="B425" s="49" t="s">
        <v>103</v>
      </c>
      <c r="C425" s="50">
        <v>17296</v>
      </c>
      <c r="D425" s="51">
        <v>132062</v>
      </c>
      <c r="E425" s="52">
        <v>9701535362</v>
      </c>
      <c r="F425" s="43" t="s">
        <v>69</v>
      </c>
      <c r="G425" s="53">
        <v>63150</v>
      </c>
      <c r="H425" s="54" t="s">
        <v>70</v>
      </c>
      <c r="I425" s="54" t="s">
        <v>710</v>
      </c>
      <c r="J425" s="55" t="s">
        <v>88</v>
      </c>
      <c r="K425" s="54" t="s">
        <v>84</v>
      </c>
      <c r="L425" s="56">
        <f>37781+(6*364)</f>
        <v>39965</v>
      </c>
      <c r="M425" s="43">
        <f t="shared" ca="1" si="6"/>
        <v>16</v>
      </c>
    </row>
    <row r="426" spans="1:13" x14ac:dyDescent="0.3">
      <c r="A426" s="49" t="s">
        <v>725</v>
      </c>
      <c r="B426" s="49" t="s">
        <v>103</v>
      </c>
      <c r="C426" s="50">
        <v>92380</v>
      </c>
      <c r="D426" s="51">
        <v>75101</v>
      </c>
      <c r="E426" s="52">
        <v>9705202015</v>
      </c>
      <c r="F426" s="43" t="s">
        <v>75</v>
      </c>
      <c r="G426" s="53">
        <v>113680</v>
      </c>
      <c r="H426" s="54" t="s">
        <v>70</v>
      </c>
      <c r="I426" s="54" t="s">
        <v>376</v>
      </c>
      <c r="J426" s="55" t="s">
        <v>83</v>
      </c>
      <c r="K426" s="54" t="s">
        <v>106</v>
      </c>
      <c r="L426" s="56">
        <f>37864+(6*364)</f>
        <v>40048</v>
      </c>
      <c r="M426" s="43">
        <f t="shared" ca="1" si="6"/>
        <v>16</v>
      </c>
    </row>
    <row r="427" spans="1:13" x14ac:dyDescent="0.3">
      <c r="A427" s="49" t="s">
        <v>726</v>
      </c>
      <c r="B427" s="49" t="s">
        <v>103</v>
      </c>
      <c r="C427" s="50">
        <v>83709</v>
      </c>
      <c r="D427" s="51">
        <v>61816</v>
      </c>
      <c r="E427" s="52">
        <v>3033324762</v>
      </c>
      <c r="F427" s="43" t="s">
        <v>98</v>
      </c>
      <c r="G427" s="53">
        <v>78820</v>
      </c>
      <c r="H427" s="54" t="s">
        <v>70</v>
      </c>
      <c r="I427" s="54" t="s">
        <v>521</v>
      </c>
      <c r="J427" s="55" t="s">
        <v>153</v>
      </c>
      <c r="K427" s="54" t="s">
        <v>93</v>
      </c>
      <c r="L427" s="56">
        <f>36839+(6*364)</f>
        <v>39023</v>
      </c>
      <c r="M427" s="43">
        <f t="shared" ca="1" si="6"/>
        <v>19</v>
      </c>
    </row>
    <row r="428" spans="1:13" x14ac:dyDescent="0.3">
      <c r="A428" s="49" t="s">
        <v>727</v>
      </c>
      <c r="B428" s="49" t="s">
        <v>103</v>
      </c>
      <c r="C428" s="50">
        <v>41326</v>
      </c>
      <c r="D428" s="51">
        <v>76120</v>
      </c>
      <c r="E428" s="52">
        <v>7194854867</v>
      </c>
      <c r="F428" s="43" t="s">
        <v>98</v>
      </c>
      <c r="G428" s="53">
        <v>95923</v>
      </c>
      <c r="H428" s="54" t="s">
        <v>70</v>
      </c>
      <c r="I428" s="54" t="s">
        <v>524</v>
      </c>
      <c r="J428" s="55" t="s">
        <v>88</v>
      </c>
      <c r="K428" s="54" t="s">
        <v>523</v>
      </c>
      <c r="L428" s="56">
        <f>38915+(6*364)</f>
        <v>41099</v>
      </c>
      <c r="M428" s="43">
        <f t="shared" ca="1" si="6"/>
        <v>13</v>
      </c>
    </row>
    <row r="429" spans="1:13" x14ac:dyDescent="0.3">
      <c r="A429" s="49" t="s">
        <v>729</v>
      </c>
      <c r="B429" s="49" t="s">
        <v>103</v>
      </c>
      <c r="C429" s="50">
        <v>83098</v>
      </c>
      <c r="D429" s="51">
        <v>80821</v>
      </c>
      <c r="E429" s="52">
        <v>9701957923</v>
      </c>
      <c r="F429" s="43" t="s">
        <v>81</v>
      </c>
      <c r="G429" s="53">
        <v>113999</v>
      </c>
      <c r="H429" s="54" t="s">
        <v>70</v>
      </c>
      <c r="I429" s="54" t="s">
        <v>233</v>
      </c>
      <c r="J429" s="55" t="s">
        <v>88</v>
      </c>
      <c r="K429" s="54" t="s">
        <v>106</v>
      </c>
      <c r="L429" s="56">
        <f>42009+(6*364)</f>
        <v>44193</v>
      </c>
      <c r="M429" s="43">
        <f t="shared" ca="1" si="6"/>
        <v>4</v>
      </c>
    </row>
    <row r="430" spans="1:13" x14ac:dyDescent="0.3">
      <c r="A430" s="49" t="s">
        <v>731</v>
      </c>
      <c r="B430" s="49" t="s">
        <v>103</v>
      </c>
      <c r="C430" s="50">
        <v>94999</v>
      </c>
      <c r="D430" s="51">
        <v>124320</v>
      </c>
      <c r="E430" s="52">
        <v>7196699611</v>
      </c>
      <c r="F430" s="43" t="s">
        <v>91</v>
      </c>
      <c r="G430" s="53">
        <v>127742</v>
      </c>
      <c r="H430" s="54" t="s">
        <v>70</v>
      </c>
      <c r="I430" s="54" t="s">
        <v>712</v>
      </c>
      <c r="J430" s="55" t="s">
        <v>153</v>
      </c>
      <c r="K430" s="54" t="s">
        <v>89</v>
      </c>
      <c r="L430" s="56">
        <f>41896+(6*364)</f>
        <v>44080</v>
      </c>
      <c r="M430" s="43">
        <f t="shared" ca="1" si="6"/>
        <v>5</v>
      </c>
    </row>
    <row r="431" spans="1:13" x14ac:dyDescent="0.3">
      <c r="A431" s="49" t="s">
        <v>732</v>
      </c>
      <c r="B431" s="49" t="s">
        <v>103</v>
      </c>
      <c r="C431" s="50">
        <v>98303</v>
      </c>
      <c r="D431" s="51">
        <v>123170</v>
      </c>
      <c r="E431" s="52">
        <v>5053848677</v>
      </c>
      <c r="F431" s="43"/>
      <c r="G431" s="53">
        <v>98084</v>
      </c>
      <c r="H431" s="54" t="s">
        <v>86</v>
      </c>
      <c r="I431" s="54" t="s">
        <v>713</v>
      </c>
      <c r="J431" s="55" t="s">
        <v>88</v>
      </c>
      <c r="K431" s="54" t="s">
        <v>93</v>
      </c>
      <c r="L431" s="56">
        <f>38012+(6*364)</f>
        <v>40196</v>
      </c>
      <c r="M431" s="43">
        <f t="shared" ca="1" si="6"/>
        <v>15</v>
      </c>
    </row>
    <row r="432" spans="1:13" x14ac:dyDescent="0.3">
      <c r="A432" s="49" t="s">
        <v>733</v>
      </c>
      <c r="B432" s="49" t="s">
        <v>103</v>
      </c>
      <c r="C432" s="50">
        <v>70062</v>
      </c>
      <c r="D432" s="51">
        <v>85201</v>
      </c>
      <c r="E432" s="52">
        <v>9702172913</v>
      </c>
      <c r="F432" s="43" t="s">
        <v>69</v>
      </c>
      <c r="G432" s="53">
        <v>70883</v>
      </c>
      <c r="H432" s="54" t="s">
        <v>70</v>
      </c>
      <c r="I432" s="54" t="s">
        <v>653</v>
      </c>
      <c r="J432" s="55" t="s">
        <v>72</v>
      </c>
      <c r="K432" s="54" t="s">
        <v>93</v>
      </c>
      <c r="L432" s="56">
        <f>37225+(6*364)</f>
        <v>39409</v>
      </c>
      <c r="M432" s="43">
        <f t="shared" ca="1" si="6"/>
        <v>18</v>
      </c>
    </row>
    <row r="433" spans="1:13" x14ac:dyDescent="0.3">
      <c r="A433" s="49" t="s">
        <v>734</v>
      </c>
      <c r="B433" s="49" t="s">
        <v>103</v>
      </c>
      <c r="C433" s="50">
        <v>33155</v>
      </c>
      <c r="D433" s="51">
        <v>103887</v>
      </c>
      <c r="E433" s="52">
        <v>9708046670</v>
      </c>
      <c r="F433" s="43"/>
      <c r="G433" s="53">
        <v>41578</v>
      </c>
      <c r="H433" s="54" t="s">
        <v>86</v>
      </c>
      <c r="I433" s="54" t="s">
        <v>714</v>
      </c>
      <c r="J433" s="55" t="s">
        <v>78</v>
      </c>
      <c r="K433" s="54" t="s">
        <v>93</v>
      </c>
      <c r="L433" s="56">
        <f>35562+(6*364)</f>
        <v>37746</v>
      </c>
      <c r="M433" s="43">
        <f t="shared" ca="1" si="6"/>
        <v>22</v>
      </c>
    </row>
    <row r="434" spans="1:13" x14ac:dyDescent="0.3">
      <c r="A434" s="49" t="s">
        <v>735</v>
      </c>
      <c r="B434" s="49" t="s">
        <v>103</v>
      </c>
      <c r="C434" s="50">
        <v>73480</v>
      </c>
      <c r="D434" s="51">
        <v>38602</v>
      </c>
      <c r="E434" s="52">
        <v>9702889182</v>
      </c>
      <c r="F434" s="43"/>
      <c r="G434" s="53">
        <v>31859</v>
      </c>
      <c r="H434" s="54" t="s">
        <v>86</v>
      </c>
      <c r="I434" s="54" t="s">
        <v>525</v>
      </c>
      <c r="J434" s="55" t="s">
        <v>88</v>
      </c>
      <c r="K434" s="54" t="s">
        <v>79</v>
      </c>
      <c r="L434" s="56">
        <f>38254+(6*364)</f>
        <v>40438</v>
      </c>
      <c r="M434" s="43">
        <f t="shared" ca="1" si="6"/>
        <v>15</v>
      </c>
    </row>
    <row r="435" spans="1:13" x14ac:dyDescent="0.3">
      <c r="A435" s="49" t="s">
        <v>736</v>
      </c>
      <c r="B435" s="49" t="s">
        <v>103</v>
      </c>
      <c r="C435" s="50">
        <v>85730</v>
      </c>
      <c r="D435" s="51">
        <v>34521</v>
      </c>
      <c r="E435" s="52">
        <v>3036126835</v>
      </c>
      <c r="F435" s="43"/>
      <c r="G435" s="53">
        <v>50445</v>
      </c>
      <c r="H435" s="54" t="s">
        <v>86</v>
      </c>
      <c r="I435" s="54" t="s">
        <v>377</v>
      </c>
      <c r="J435" s="55" t="s">
        <v>88</v>
      </c>
      <c r="K435" s="54" t="s">
        <v>89</v>
      </c>
      <c r="L435" s="56">
        <f>37303+(6*364)</f>
        <v>39487</v>
      </c>
      <c r="M435" s="43">
        <f t="shared" ca="1" si="6"/>
        <v>17</v>
      </c>
    </row>
    <row r="436" spans="1:13" x14ac:dyDescent="0.3">
      <c r="A436" s="49" t="s">
        <v>737</v>
      </c>
      <c r="B436" s="49" t="s">
        <v>103</v>
      </c>
      <c r="C436" s="50">
        <v>13833</v>
      </c>
      <c r="D436" s="51">
        <v>21694</v>
      </c>
      <c r="E436" s="52">
        <v>9707692593</v>
      </c>
      <c r="F436" s="43" t="s">
        <v>91</v>
      </c>
      <c r="G436" s="53">
        <v>38649</v>
      </c>
      <c r="H436" s="54" t="s">
        <v>70</v>
      </c>
      <c r="I436" s="54" t="s">
        <v>715</v>
      </c>
      <c r="J436" s="55" t="s">
        <v>153</v>
      </c>
      <c r="K436" s="54" t="s">
        <v>79</v>
      </c>
      <c r="L436" s="56">
        <f>35902+(6*364)</f>
        <v>38086</v>
      </c>
      <c r="M436" s="43">
        <f t="shared" ca="1" si="6"/>
        <v>21</v>
      </c>
    </row>
    <row r="437" spans="1:13" x14ac:dyDescent="0.3">
      <c r="A437" s="49" t="s">
        <v>738</v>
      </c>
      <c r="B437" s="49" t="s">
        <v>103</v>
      </c>
      <c r="C437" s="50">
        <v>66651</v>
      </c>
      <c r="D437" s="51">
        <v>64012</v>
      </c>
      <c r="E437" s="52">
        <v>9706412482</v>
      </c>
      <c r="F437" s="43" t="s">
        <v>98</v>
      </c>
      <c r="G437" s="53">
        <v>62730</v>
      </c>
      <c r="H437" s="54" t="s">
        <v>70</v>
      </c>
      <c r="I437" s="54" t="s">
        <v>378</v>
      </c>
      <c r="J437" s="55" t="s">
        <v>88</v>
      </c>
      <c r="K437" s="54" t="s">
        <v>93</v>
      </c>
      <c r="L437" s="56">
        <f>36402+(6*364)</f>
        <v>38586</v>
      </c>
      <c r="M437" s="43">
        <f t="shared" ca="1" si="6"/>
        <v>20</v>
      </c>
    </row>
    <row r="438" spans="1:13" x14ac:dyDescent="0.3">
      <c r="A438" s="49" t="s">
        <v>739</v>
      </c>
      <c r="B438" s="49" t="s">
        <v>103</v>
      </c>
      <c r="C438" s="50">
        <v>99330</v>
      </c>
      <c r="D438" s="51">
        <v>129297</v>
      </c>
      <c r="E438" s="52">
        <v>5054125294</v>
      </c>
      <c r="F438" s="43" t="s">
        <v>98</v>
      </c>
      <c r="G438" s="53">
        <v>97028</v>
      </c>
      <c r="H438" s="54" t="s">
        <v>70</v>
      </c>
      <c r="I438" s="54" t="s">
        <v>235</v>
      </c>
      <c r="J438" s="55" t="s">
        <v>153</v>
      </c>
      <c r="K438" s="54" t="s">
        <v>93</v>
      </c>
      <c r="L438" s="56">
        <f>38141+(6*364)</f>
        <v>40325</v>
      </c>
      <c r="M438" s="43">
        <f t="shared" ca="1" si="6"/>
        <v>15</v>
      </c>
    </row>
    <row r="439" spans="1:13" x14ac:dyDescent="0.3">
      <c r="A439" s="49" t="s">
        <v>157</v>
      </c>
      <c r="B439" s="49" t="s">
        <v>204</v>
      </c>
      <c r="C439" s="50">
        <v>14058</v>
      </c>
      <c r="D439" s="51">
        <v>55824</v>
      </c>
      <c r="E439" s="52">
        <v>7193199265</v>
      </c>
      <c r="F439" s="43" t="s">
        <v>91</v>
      </c>
      <c r="G439" s="53">
        <v>50526</v>
      </c>
      <c r="H439" s="54" t="s">
        <v>70</v>
      </c>
      <c r="I439" s="54" t="s">
        <v>289</v>
      </c>
      <c r="J439" s="55" t="s">
        <v>88</v>
      </c>
      <c r="K439" s="54" t="s">
        <v>89</v>
      </c>
      <c r="L439" s="56">
        <f>42558+(6*364)</f>
        <v>44742</v>
      </c>
      <c r="M439" s="43">
        <f t="shared" ca="1" si="6"/>
        <v>3</v>
      </c>
    </row>
    <row r="440" spans="1:13" x14ac:dyDescent="0.3">
      <c r="A440" s="49" t="s">
        <v>181</v>
      </c>
      <c r="B440" s="49" t="s">
        <v>204</v>
      </c>
      <c r="C440" s="50">
        <v>44858</v>
      </c>
      <c r="D440" s="51">
        <v>72818</v>
      </c>
      <c r="E440" s="52">
        <v>3037785583</v>
      </c>
      <c r="F440" s="43"/>
      <c r="G440" s="53">
        <v>95602</v>
      </c>
      <c r="H440" s="54" t="s">
        <v>86</v>
      </c>
      <c r="I440" s="54" t="s">
        <v>717</v>
      </c>
      <c r="J440" s="55" t="s">
        <v>78</v>
      </c>
      <c r="K440" s="54" t="s">
        <v>84</v>
      </c>
      <c r="L440" s="56">
        <f>35626+(6*364)</f>
        <v>37810</v>
      </c>
      <c r="M440" s="43">
        <f t="shared" ca="1" si="6"/>
        <v>22</v>
      </c>
    </row>
    <row r="441" spans="1:13" x14ac:dyDescent="0.3">
      <c r="A441" s="49" t="s">
        <v>267</v>
      </c>
      <c r="B441" s="49" t="s">
        <v>204</v>
      </c>
      <c r="C441" s="50">
        <v>67778</v>
      </c>
      <c r="D441" s="51">
        <v>74197</v>
      </c>
      <c r="E441" s="52">
        <v>5052453666</v>
      </c>
      <c r="F441" s="43"/>
      <c r="G441" s="53">
        <v>98788</v>
      </c>
      <c r="H441" s="54" t="s">
        <v>86</v>
      </c>
      <c r="I441" s="54" t="s">
        <v>345</v>
      </c>
      <c r="J441" s="55" t="s">
        <v>72</v>
      </c>
      <c r="K441" s="54" t="s">
        <v>89</v>
      </c>
      <c r="L441" s="56">
        <f>38992+(6*364)</f>
        <v>41176</v>
      </c>
      <c r="M441" s="43">
        <f t="shared" ca="1" si="6"/>
        <v>13</v>
      </c>
    </row>
    <row r="442" spans="1:13" x14ac:dyDescent="0.3">
      <c r="A442" s="49" t="s">
        <v>434</v>
      </c>
      <c r="B442" s="49" t="s">
        <v>204</v>
      </c>
      <c r="C442" s="50">
        <v>46326</v>
      </c>
      <c r="D442" s="51">
        <v>64274</v>
      </c>
      <c r="E442" s="52">
        <v>7194752921</v>
      </c>
      <c r="F442" s="43" t="s">
        <v>91</v>
      </c>
      <c r="G442" s="53">
        <v>124587</v>
      </c>
      <c r="H442" s="54" t="s">
        <v>70</v>
      </c>
      <c r="I442" s="54" t="s">
        <v>718</v>
      </c>
      <c r="J442" s="55" t="s">
        <v>78</v>
      </c>
      <c r="K442" s="54" t="s">
        <v>89</v>
      </c>
      <c r="L442" s="56">
        <f>40070+(6*364)</f>
        <v>42254</v>
      </c>
      <c r="M442" s="43">
        <f t="shared" ca="1" si="6"/>
        <v>10</v>
      </c>
    </row>
    <row r="443" spans="1:13" x14ac:dyDescent="0.3">
      <c r="A443" s="49" t="s">
        <v>482</v>
      </c>
      <c r="B443" s="49" t="s">
        <v>204</v>
      </c>
      <c r="C443" s="50">
        <v>88414</v>
      </c>
      <c r="D443" s="51">
        <v>69353</v>
      </c>
      <c r="E443" s="52">
        <v>3035968632</v>
      </c>
      <c r="F443" s="43"/>
      <c r="G443" s="53">
        <v>87499</v>
      </c>
      <c r="H443" s="54" t="s">
        <v>86</v>
      </c>
      <c r="I443" s="54" t="s">
        <v>114</v>
      </c>
      <c r="J443" s="55" t="s">
        <v>78</v>
      </c>
      <c r="K443" s="54" t="s">
        <v>146</v>
      </c>
      <c r="L443" s="56">
        <f>37971+(6*364)</f>
        <v>40155</v>
      </c>
      <c r="M443" s="43">
        <f t="shared" ca="1" si="6"/>
        <v>16</v>
      </c>
    </row>
    <row r="444" spans="1:13" x14ac:dyDescent="0.3">
      <c r="A444" s="49" t="s">
        <v>501</v>
      </c>
      <c r="B444" s="49" t="s">
        <v>204</v>
      </c>
      <c r="C444" s="50">
        <v>75161</v>
      </c>
      <c r="D444" s="51">
        <v>66195</v>
      </c>
      <c r="E444" s="52">
        <v>9708012440</v>
      </c>
      <c r="F444" s="43" t="s">
        <v>69</v>
      </c>
      <c r="G444" s="53">
        <v>71821</v>
      </c>
      <c r="H444" s="54" t="s">
        <v>70</v>
      </c>
      <c r="I444" s="54" t="s">
        <v>719</v>
      </c>
      <c r="J444" s="55" t="s">
        <v>88</v>
      </c>
      <c r="K444" s="54" t="s">
        <v>93</v>
      </c>
      <c r="L444" s="56">
        <f>35434+(6*364)</f>
        <v>37618</v>
      </c>
      <c r="M444" s="43">
        <f t="shared" ca="1" si="6"/>
        <v>22</v>
      </c>
    </row>
    <row r="445" spans="1:13" x14ac:dyDescent="0.3">
      <c r="A445" s="49" t="s">
        <v>506</v>
      </c>
      <c r="B445" s="49" t="s">
        <v>204</v>
      </c>
      <c r="C445" s="50">
        <v>48162</v>
      </c>
      <c r="D445" s="51">
        <v>111004</v>
      </c>
      <c r="E445" s="52">
        <v>7192780847</v>
      </c>
      <c r="F445" s="43" t="s">
        <v>69</v>
      </c>
      <c r="G445" s="53">
        <v>53685</v>
      </c>
      <c r="H445" s="54" t="s">
        <v>76</v>
      </c>
      <c r="I445" s="54" t="s">
        <v>721</v>
      </c>
      <c r="J445" s="55" t="s">
        <v>83</v>
      </c>
      <c r="K445" s="54" t="s">
        <v>189</v>
      </c>
      <c r="L445" s="56">
        <f>37438+(6*364)</f>
        <v>39622</v>
      </c>
      <c r="M445" s="43">
        <f t="shared" ca="1" si="6"/>
        <v>17</v>
      </c>
    </row>
    <row r="446" spans="1:13" x14ac:dyDescent="0.3">
      <c r="A446" s="49" t="s">
        <v>578</v>
      </c>
      <c r="B446" s="49" t="s">
        <v>204</v>
      </c>
      <c r="C446" s="50">
        <v>37552</v>
      </c>
      <c r="D446" s="51">
        <v>134609</v>
      </c>
      <c r="E446" s="52">
        <v>3033294956</v>
      </c>
      <c r="F446" s="43" t="s">
        <v>81</v>
      </c>
      <c r="G446" s="53">
        <v>120167</v>
      </c>
      <c r="H446" s="54" t="s">
        <v>70</v>
      </c>
      <c r="I446" s="54" t="s">
        <v>527</v>
      </c>
      <c r="J446" s="55" t="s">
        <v>153</v>
      </c>
      <c r="K446" s="54" t="s">
        <v>89</v>
      </c>
      <c r="L446" s="56">
        <f>38628+(6*364)</f>
        <v>40812</v>
      </c>
      <c r="M446" s="43">
        <f t="shared" ca="1" si="6"/>
        <v>14</v>
      </c>
    </row>
    <row r="447" spans="1:13" x14ac:dyDescent="0.3">
      <c r="A447" s="49" t="s">
        <v>617</v>
      </c>
      <c r="B447" s="49" t="s">
        <v>204</v>
      </c>
      <c r="C447" s="50">
        <v>86461</v>
      </c>
      <c r="D447" s="51">
        <v>78027</v>
      </c>
      <c r="E447" s="52">
        <v>5052672603</v>
      </c>
      <c r="F447" s="43"/>
      <c r="G447" s="53">
        <v>47023</v>
      </c>
      <c r="H447" s="54" t="s">
        <v>108</v>
      </c>
      <c r="I447" s="54" t="s">
        <v>720</v>
      </c>
      <c r="J447" s="55" t="s">
        <v>88</v>
      </c>
      <c r="K447" s="54" t="s">
        <v>93</v>
      </c>
      <c r="L447" s="56">
        <f>38460+(6*364)</f>
        <v>40644</v>
      </c>
      <c r="M447" s="43">
        <f t="shared" ca="1" si="6"/>
        <v>14</v>
      </c>
    </row>
    <row r="448" spans="1:13" x14ac:dyDescent="0.3">
      <c r="A448" s="49" t="s">
        <v>713</v>
      </c>
      <c r="B448" s="49" t="s">
        <v>204</v>
      </c>
      <c r="C448" s="50">
        <v>47620</v>
      </c>
      <c r="D448" s="51">
        <v>78755</v>
      </c>
      <c r="E448" s="52">
        <v>3033558443</v>
      </c>
      <c r="F448" s="43" t="s">
        <v>98</v>
      </c>
      <c r="G448" s="53">
        <v>105368</v>
      </c>
      <c r="H448" s="54" t="s">
        <v>70</v>
      </c>
      <c r="I448" s="54" t="s">
        <v>529</v>
      </c>
      <c r="J448" s="55" t="s">
        <v>72</v>
      </c>
      <c r="K448" s="54" t="s">
        <v>79</v>
      </c>
      <c r="L448" s="56">
        <f>36458+(6*364)</f>
        <v>38642</v>
      </c>
      <c r="M448" s="43">
        <f t="shared" ca="1" si="6"/>
        <v>20</v>
      </c>
    </row>
    <row r="449" spans="1:13" x14ac:dyDescent="0.3">
      <c r="A449" s="49" t="s">
        <v>746</v>
      </c>
      <c r="B449" s="49" t="s">
        <v>204</v>
      </c>
      <c r="C449" s="50">
        <v>63682</v>
      </c>
      <c r="D449" s="51">
        <v>36615</v>
      </c>
      <c r="E449" s="52">
        <v>7198253211</v>
      </c>
      <c r="F449" s="43" t="s">
        <v>98</v>
      </c>
      <c r="G449" s="53">
        <v>55634</v>
      </c>
      <c r="H449" s="54" t="s">
        <v>70</v>
      </c>
      <c r="I449" s="54" t="s">
        <v>722</v>
      </c>
      <c r="J449" s="55" t="s">
        <v>88</v>
      </c>
      <c r="K449" s="54" t="s">
        <v>73</v>
      </c>
      <c r="L449" s="56">
        <f>37863+(6*364)</f>
        <v>40047</v>
      </c>
      <c r="M449" s="43">
        <f t="shared" ca="1" si="6"/>
        <v>16</v>
      </c>
    </row>
    <row r="450" spans="1:13" x14ac:dyDescent="0.3">
      <c r="A450" s="49" t="s">
        <v>747</v>
      </c>
      <c r="B450" s="49" t="s">
        <v>204</v>
      </c>
      <c r="C450" s="50">
        <v>83104</v>
      </c>
      <c r="D450" s="51">
        <v>107612</v>
      </c>
      <c r="E450" s="52">
        <v>5055993367</v>
      </c>
      <c r="F450" s="43"/>
      <c r="G450" s="53">
        <v>78135</v>
      </c>
      <c r="H450" s="54" t="s">
        <v>108</v>
      </c>
      <c r="I450" s="54" t="s">
        <v>417</v>
      </c>
      <c r="J450" s="55" t="s">
        <v>72</v>
      </c>
      <c r="K450" s="54" t="s">
        <v>106</v>
      </c>
      <c r="L450" s="56">
        <f>38942+(6*364)</f>
        <v>41126</v>
      </c>
      <c r="M450" s="43">
        <f t="shared" ref="M450:M513" ca="1" si="7">DATEDIF(L450,TODAY(),"Y")</f>
        <v>13</v>
      </c>
    </row>
    <row r="451" spans="1:13" x14ac:dyDescent="0.3">
      <c r="A451" s="49" t="s">
        <v>748</v>
      </c>
      <c r="B451" s="49" t="s">
        <v>204</v>
      </c>
      <c r="C451" s="50">
        <v>47445</v>
      </c>
      <c r="D451" s="51">
        <v>119721</v>
      </c>
      <c r="E451" s="52">
        <v>3034733288</v>
      </c>
      <c r="F451" s="43" t="s">
        <v>98</v>
      </c>
      <c r="G451" s="53">
        <v>48473</v>
      </c>
      <c r="H451" s="54" t="s">
        <v>70</v>
      </c>
      <c r="I451" s="54" t="s">
        <v>728</v>
      </c>
      <c r="J451" s="55" t="s">
        <v>72</v>
      </c>
      <c r="K451" s="54" t="s">
        <v>158</v>
      </c>
      <c r="L451" s="56">
        <f>35107+(6*364)</f>
        <v>37291</v>
      </c>
      <c r="M451" s="43">
        <f t="shared" ca="1" si="7"/>
        <v>23</v>
      </c>
    </row>
    <row r="452" spans="1:13" x14ac:dyDescent="0.3">
      <c r="A452" s="49" t="s">
        <v>749</v>
      </c>
      <c r="B452" s="49" t="s">
        <v>204</v>
      </c>
      <c r="C452" s="50">
        <v>53633</v>
      </c>
      <c r="D452" s="51">
        <v>71463</v>
      </c>
      <c r="E452" s="52">
        <v>3033967339</v>
      </c>
      <c r="F452" s="43" t="s">
        <v>98</v>
      </c>
      <c r="G452" s="53">
        <v>75088</v>
      </c>
      <c r="H452" s="54" t="s">
        <v>70</v>
      </c>
      <c r="I452" s="54" t="s">
        <v>730</v>
      </c>
      <c r="J452" s="55" t="s">
        <v>88</v>
      </c>
      <c r="K452" s="54" t="s">
        <v>89</v>
      </c>
      <c r="L452" s="56">
        <f>37933+(6*364)</f>
        <v>40117</v>
      </c>
      <c r="M452" s="43">
        <f t="shared" ca="1" si="7"/>
        <v>16</v>
      </c>
    </row>
    <row r="453" spans="1:13" x14ac:dyDescent="0.3">
      <c r="A453" s="49" t="s">
        <v>750</v>
      </c>
      <c r="B453" s="49" t="s">
        <v>204</v>
      </c>
      <c r="C453" s="50">
        <v>53440</v>
      </c>
      <c r="D453" s="51">
        <v>125266</v>
      </c>
      <c r="E453" s="52">
        <v>7191397811</v>
      </c>
      <c r="F453" s="43" t="s">
        <v>81</v>
      </c>
      <c r="G453" s="53">
        <v>48398</v>
      </c>
      <c r="H453" s="54" t="s">
        <v>70</v>
      </c>
      <c r="I453" s="54" t="s">
        <v>723</v>
      </c>
      <c r="J453" s="55" t="s">
        <v>72</v>
      </c>
      <c r="K453" s="54" t="s">
        <v>79</v>
      </c>
      <c r="L453" s="56">
        <f>42159+(6*364)</f>
        <v>44343</v>
      </c>
      <c r="M453" s="43">
        <f t="shared" ca="1" si="7"/>
        <v>4</v>
      </c>
    </row>
    <row r="454" spans="1:13" x14ac:dyDescent="0.3">
      <c r="A454" s="49" t="s">
        <v>751</v>
      </c>
      <c r="B454" s="49" t="s">
        <v>204</v>
      </c>
      <c r="C454" s="50">
        <v>61904</v>
      </c>
      <c r="D454" s="51">
        <v>71550</v>
      </c>
      <c r="E454" s="52">
        <v>7195085809</v>
      </c>
      <c r="F454" s="43"/>
      <c r="G454" s="53">
        <v>42259</v>
      </c>
      <c r="H454" s="54" t="s">
        <v>86</v>
      </c>
      <c r="I454" s="54" t="s">
        <v>531</v>
      </c>
      <c r="J454" s="55" t="s">
        <v>78</v>
      </c>
      <c r="K454" s="54" t="s">
        <v>89</v>
      </c>
      <c r="L454" s="56">
        <f>40213+(6*364)</f>
        <v>42397</v>
      </c>
      <c r="M454" s="43">
        <f t="shared" ca="1" si="7"/>
        <v>9</v>
      </c>
    </row>
    <row r="455" spans="1:13" x14ac:dyDescent="0.3">
      <c r="A455" s="49" t="s">
        <v>77</v>
      </c>
      <c r="B455" s="49" t="s">
        <v>93</v>
      </c>
      <c r="C455" s="50">
        <v>61926</v>
      </c>
      <c r="D455" s="51">
        <v>76586</v>
      </c>
      <c r="E455" s="52">
        <v>3038155179</v>
      </c>
      <c r="F455" s="43" t="s">
        <v>91</v>
      </c>
      <c r="G455" s="53">
        <v>110346</v>
      </c>
      <c r="H455" s="54" t="s">
        <v>70</v>
      </c>
      <c r="I455" s="54" t="s">
        <v>533</v>
      </c>
      <c r="J455" s="55" t="s">
        <v>72</v>
      </c>
      <c r="K455" s="54" t="s">
        <v>95</v>
      </c>
      <c r="L455" s="56">
        <f>38184+(6*364)</f>
        <v>40368</v>
      </c>
      <c r="M455" s="43">
        <f t="shared" ca="1" si="7"/>
        <v>15</v>
      </c>
    </row>
    <row r="456" spans="1:13" x14ac:dyDescent="0.3">
      <c r="A456" s="49" t="s">
        <v>99</v>
      </c>
      <c r="B456" s="49" t="s">
        <v>93</v>
      </c>
      <c r="C456" s="50">
        <v>77360</v>
      </c>
      <c r="D456" s="51">
        <v>51905</v>
      </c>
      <c r="E456" s="52">
        <v>9702263363</v>
      </c>
      <c r="F456" s="43" t="s">
        <v>81</v>
      </c>
      <c r="G456" s="53">
        <v>78035</v>
      </c>
      <c r="H456" s="54" t="s">
        <v>70</v>
      </c>
      <c r="I456" s="54" t="s">
        <v>724</v>
      </c>
      <c r="J456" s="55" t="s">
        <v>72</v>
      </c>
      <c r="K456" s="54" t="s">
        <v>79</v>
      </c>
      <c r="L456" s="56">
        <f>36976+(6*364)</f>
        <v>39160</v>
      </c>
      <c r="M456" s="43">
        <f t="shared" ca="1" si="7"/>
        <v>18</v>
      </c>
    </row>
    <row r="457" spans="1:13" x14ac:dyDescent="0.3">
      <c r="A457" s="49" t="s">
        <v>123</v>
      </c>
      <c r="B457" s="49" t="s">
        <v>93</v>
      </c>
      <c r="C457" s="50">
        <v>15340</v>
      </c>
      <c r="D457" s="51">
        <v>91968</v>
      </c>
      <c r="E457" s="52">
        <v>3033373445</v>
      </c>
      <c r="F457" s="43"/>
      <c r="G457" s="53">
        <v>44547</v>
      </c>
      <c r="H457" s="54" t="s">
        <v>86</v>
      </c>
      <c r="I457" s="54" t="s">
        <v>116</v>
      </c>
      <c r="J457" s="55" t="s">
        <v>72</v>
      </c>
      <c r="K457" s="54" t="s">
        <v>79</v>
      </c>
      <c r="L457" s="56">
        <f>37200+(6*364)</f>
        <v>39384</v>
      </c>
      <c r="M457" s="43">
        <f t="shared" ca="1" si="7"/>
        <v>18</v>
      </c>
    </row>
    <row r="458" spans="1:13" x14ac:dyDescent="0.3">
      <c r="A458" s="49" t="s">
        <v>210</v>
      </c>
      <c r="B458" s="49" t="s">
        <v>93</v>
      </c>
      <c r="C458" s="50">
        <v>51990</v>
      </c>
      <c r="D458" s="51">
        <v>85929</v>
      </c>
      <c r="E458" s="52">
        <v>7195267252</v>
      </c>
      <c r="F458" s="43" t="s">
        <v>75</v>
      </c>
      <c r="G458" s="53">
        <v>36561</v>
      </c>
      <c r="H458" s="54" t="s">
        <v>70</v>
      </c>
      <c r="I458" s="54" t="s">
        <v>534</v>
      </c>
      <c r="J458" s="55" t="s">
        <v>100</v>
      </c>
      <c r="K458" s="54" t="s">
        <v>95</v>
      </c>
      <c r="L458" s="56">
        <f>38141+(6*364)</f>
        <v>40325</v>
      </c>
      <c r="M458" s="43">
        <f t="shared" ca="1" si="7"/>
        <v>15</v>
      </c>
    </row>
    <row r="459" spans="1:13" x14ac:dyDescent="0.3">
      <c r="A459" s="49" t="s">
        <v>213</v>
      </c>
      <c r="B459" s="49" t="s">
        <v>93</v>
      </c>
      <c r="C459" s="50">
        <v>22733</v>
      </c>
      <c r="D459" s="51">
        <v>83383</v>
      </c>
      <c r="E459" s="52">
        <v>5052153322</v>
      </c>
      <c r="F459" s="43"/>
      <c r="G459" s="53">
        <v>90237</v>
      </c>
      <c r="H459" s="54" t="s">
        <v>86</v>
      </c>
      <c r="I459" s="54" t="s">
        <v>237</v>
      </c>
      <c r="J459" s="55" t="s">
        <v>72</v>
      </c>
      <c r="K459" s="54" t="s">
        <v>146</v>
      </c>
      <c r="L459" s="56">
        <f>39727+(6*364)</f>
        <v>41911</v>
      </c>
      <c r="M459" s="43">
        <f t="shared" ca="1" si="7"/>
        <v>11</v>
      </c>
    </row>
    <row r="460" spans="1:13" x14ac:dyDescent="0.3">
      <c r="A460" s="49" t="s">
        <v>225</v>
      </c>
      <c r="B460" s="49" t="s">
        <v>93</v>
      </c>
      <c r="C460" s="50">
        <v>53087</v>
      </c>
      <c r="D460" s="51">
        <v>122165</v>
      </c>
      <c r="E460" s="52">
        <v>3038678875</v>
      </c>
      <c r="F460" s="43"/>
      <c r="G460" s="53">
        <v>116837</v>
      </c>
      <c r="H460" s="54" t="s">
        <v>108</v>
      </c>
      <c r="I460" s="54" t="s">
        <v>239</v>
      </c>
      <c r="J460" s="55" t="s">
        <v>88</v>
      </c>
      <c r="K460" s="54" t="s">
        <v>93</v>
      </c>
      <c r="L460" s="56">
        <f>36650+(6*364)</f>
        <v>38834</v>
      </c>
      <c r="M460" s="43">
        <f t="shared" ca="1" si="7"/>
        <v>19</v>
      </c>
    </row>
    <row r="461" spans="1:13" x14ac:dyDescent="0.3">
      <c r="A461" s="49" t="s">
        <v>250</v>
      </c>
      <c r="B461" s="49" t="s">
        <v>93</v>
      </c>
      <c r="C461" s="50">
        <v>66378</v>
      </c>
      <c r="D461" s="51">
        <v>110931</v>
      </c>
      <c r="E461" s="52">
        <v>7193748373</v>
      </c>
      <c r="F461" s="43" t="s">
        <v>75</v>
      </c>
      <c r="G461" s="53">
        <v>94444</v>
      </c>
      <c r="H461" s="54" t="s">
        <v>70</v>
      </c>
      <c r="I461" s="54" t="s">
        <v>740</v>
      </c>
      <c r="J461" s="55" t="s">
        <v>153</v>
      </c>
      <c r="K461" s="54" t="s">
        <v>172</v>
      </c>
      <c r="L461" s="56">
        <f>37639+(6*364)</f>
        <v>39823</v>
      </c>
      <c r="M461" s="43">
        <f t="shared" ca="1" si="7"/>
        <v>16</v>
      </c>
    </row>
    <row r="462" spans="1:13" x14ac:dyDescent="0.3">
      <c r="A462" s="49" t="s">
        <v>259</v>
      </c>
      <c r="B462" s="49" t="s">
        <v>93</v>
      </c>
      <c r="C462" s="50">
        <v>75807</v>
      </c>
      <c r="D462" s="51">
        <v>80602</v>
      </c>
      <c r="E462" s="52">
        <v>3034161772</v>
      </c>
      <c r="F462" s="43" t="s">
        <v>91</v>
      </c>
      <c r="G462" s="53">
        <v>117145</v>
      </c>
      <c r="H462" s="54" t="s">
        <v>70</v>
      </c>
      <c r="I462" s="54" t="s">
        <v>741</v>
      </c>
      <c r="J462" s="55" t="s">
        <v>72</v>
      </c>
      <c r="K462" s="54" t="s">
        <v>93</v>
      </c>
      <c r="L462" s="56">
        <f>37452+(6*364)</f>
        <v>39636</v>
      </c>
      <c r="M462" s="43">
        <f t="shared" ca="1" si="7"/>
        <v>17</v>
      </c>
    </row>
    <row r="463" spans="1:13" x14ac:dyDescent="0.3">
      <c r="A463" s="49" t="s">
        <v>261</v>
      </c>
      <c r="B463" s="49" t="s">
        <v>93</v>
      </c>
      <c r="C463" s="50">
        <v>81875</v>
      </c>
      <c r="D463" s="51">
        <v>75873</v>
      </c>
      <c r="E463" s="52">
        <v>5057950668</v>
      </c>
      <c r="F463" s="43"/>
      <c r="G463" s="53">
        <v>95626</v>
      </c>
      <c r="H463" s="54" t="s">
        <v>86</v>
      </c>
      <c r="I463" s="54" t="s">
        <v>142</v>
      </c>
      <c r="J463" s="55" t="s">
        <v>153</v>
      </c>
      <c r="K463" s="54" t="s">
        <v>159</v>
      </c>
      <c r="L463" s="56">
        <f>37319+(6*364)</f>
        <v>39503</v>
      </c>
      <c r="M463" s="43">
        <f t="shared" ca="1" si="7"/>
        <v>17</v>
      </c>
    </row>
    <row r="464" spans="1:13" x14ac:dyDescent="0.3">
      <c r="A464" s="49" t="s">
        <v>265</v>
      </c>
      <c r="B464" s="49" t="s">
        <v>93</v>
      </c>
      <c r="C464" s="50">
        <v>83587</v>
      </c>
      <c r="D464" s="51">
        <v>94733</v>
      </c>
      <c r="E464" s="52">
        <v>3036201509</v>
      </c>
      <c r="F464" s="43" t="s">
        <v>91</v>
      </c>
      <c r="G464" s="53">
        <v>118409</v>
      </c>
      <c r="H464" s="54" t="s">
        <v>76</v>
      </c>
      <c r="I464" s="54" t="s">
        <v>742</v>
      </c>
      <c r="J464" s="55" t="s">
        <v>72</v>
      </c>
      <c r="K464" s="54" t="s">
        <v>93</v>
      </c>
      <c r="L464" s="56">
        <f>38264+(6*364)</f>
        <v>40448</v>
      </c>
      <c r="M464" s="43">
        <f t="shared" ca="1" si="7"/>
        <v>15</v>
      </c>
    </row>
    <row r="465" spans="1:13" x14ac:dyDescent="0.3">
      <c r="A465" s="49" t="s">
        <v>286</v>
      </c>
      <c r="B465" s="49" t="s">
        <v>93</v>
      </c>
      <c r="C465" s="50">
        <v>19741</v>
      </c>
      <c r="D465" s="51">
        <v>74112</v>
      </c>
      <c r="E465" s="52">
        <v>9706007063</v>
      </c>
      <c r="F465" s="43"/>
      <c r="G465" s="53">
        <v>98428</v>
      </c>
      <c r="H465" s="54" t="s">
        <v>108</v>
      </c>
      <c r="I465" s="54" t="s">
        <v>743</v>
      </c>
      <c r="J465" s="55" t="s">
        <v>153</v>
      </c>
      <c r="K465" s="54" t="s">
        <v>146</v>
      </c>
      <c r="L465" s="56">
        <f>38491+(6*364)</f>
        <v>40675</v>
      </c>
      <c r="M465" s="43">
        <f t="shared" ca="1" si="7"/>
        <v>14</v>
      </c>
    </row>
    <row r="466" spans="1:13" x14ac:dyDescent="0.3">
      <c r="A466" s="49" t="s">
        <v>292</v>
      </c>
      <c r="B466" s="49" t="s">
        <v>93</v>
      </c>
      <c r="C466" s="50">
        <v>82243</v>
      </c>
      <c r="D466" s="51">
        <v>71696</v>
      </c>
      <c r="E466" s="52">
        <v>3033820411</v>
      </c>
      <c r="F466" s="43" t="s">
        <v>81</v>
      </c>
      <c r="G466" s="53">
        <v>125943</v>
      </c>
      <c r="H466" s="54" t="s">
        <v>70</v>
      </c>
      <c r="I466" s="54" t="s">
        <v>535</v>
      </c>
      <c r="J466" s="55" t="s">
        <v>72</v>
      </c>
      <c r="K466" s="54" t="s">
        <v>73</v>
      </c>
      <c r="L466" s="56">
        <f>40677+(6*364)</f>
        <v>42861</v>
      </c>
      <c r="M466" s="43">
        <f t="shared" ca="1" si="7"/>
        <v>8</v>
      </c>
    </row>
    <row r="467" spans="1:13" x14ac:dyDescent="0.3">
      <c r="A467" s="49" t="s">
        <v>310</v>
      </c>
      <c r="B467" s="49" t="s">
        <v>93</v>
      </c>
      <c r="C467" s="50">
        <v>19563</v>
      </c>
      <c r="D467" s="51">
        <v>52560</v>
      </c>
      <c r="E467" s="52">
        <v>3034588703</v>
      </c>
      <c r="F467" s="43" t="s">
        <v>75</v>
      </c>
      <c r="G467" s="53">
        <v>95112</v>
      </c>
      <c r="H467" s="54" t="s">
        <v>70</v>
      </c>
      <c r="I467" s="54" t="s">
        <v>744</v>
      </c>
      <c r="J467" s="55" t="s">
        <v>72</v>
      </c>
      <c r="K467" s="54" t="s">
        <v>175</v>
      </c>
      <c r="L467" s="56">
        <f>39860+(6*364)</f>
        <v>42044</v>
      </c>
      <c r="M467" s="43">
        <f t="shared" ca="1" si="7"/>
        <v>10</v>
      </c>
    </row>
    <row r="468" spans="1:13" x14ac:dyDescent="0.3">
      <c r="A468" s="49" t="s">
        <v>351</v>
      </c>
      <c r="B468" s="49" t="s">
        <v>93</v>
      </c>
      <c r="C468" s="50">
        <v>99239</v>
      </c>
      <c r="D468" s="51">
        <v>98939</v>
      </c>
      <c r="E468" s="52">
        <v>7192350434</v>
      </c>
      <c r="F468" s="43"/>
      <c r="G468" s="53">
        <v>75173</v>
      </c>
      <c r="H468" s="54" t="s">
        <v>86</v>
      </c>
      <c r="I468" s="54" t="s">
        <v>537</v>
      </c>
      <c r="J468" s="55" t="s">
        <v>78</v>
      </c>
      <c r="K468" s="54" t="s">
        <v>93</v>
      </c>
      <c r="L468" s="56">
        <f>35582+(6*364)</f>
        <v>37766</v>
      </c>
      <c r="M468" s="43">
        <f t="shared" ca="1" si="7"/>
        <v>22</v>
      </c>
    </row>
    <row r="469" spans="1:13" x14ac:dyDescent="0.3">
      <c r="A469" s="49" t="s">
        <v>759</v>
      </c>
      <c r="B469" s="49" t="s">
        <v>93</v>
      </c>
      <c r="C469" s="50">
        <v>24296</v>
      </c>
      <c r="D469" s="51">
        <v>107642</v>
      </c>
      <c r="E469" s="52">
        <v>5053182167</v>
      </c>
      <c r="F469" s="43" t="s">
        <v>91</v>
      </c>
      <c r="G469" s="53">
        <v>47368</v>
      </c>
      <c r="H469" s="54" t="s">
        <v>70</v>
      </c>
      <c r="I469" s="54" t="s">
        <v>382</v>
      </c>
      <c r="J469" s="55" t="s">
        <v>83</v>
      </c>
      <c r="K469" s="54" t="s">
        <v>103</v>
      </c>
      <c r="L469" s="56">
        <f>42317+(6*364)</f>
        <v>44501</v>
      </c>
      <c r="M469" s="43">
        <f t="shared" ca="1" si="7"/>
        <v>4</v>
      </c>
    </row>
    <row r="470" spans="1:13" x14ac:dyDescent="0.3">
      <c r="A470" s="49" t="s">
        <v>372</v>
      </c>
      <c r="B470" s="49" t="s">
        <v>93</v>
      </c>
      <c r="C470" s="50">
        <v>71321</v>
      </c>
      <c r="D470" s="51">
        <v>97844</v>
      </c>
      <c r="E470" s="52">
        <v>5056040465</v>
      </c>
      <c r="F470" s="43" t="s">
        <v>69</v>
      </c>
      <c r="G470" s="53">
        <v>103519</v>
      </c>
      <c r="H470" s="54" t="s">
        <v>76</v>
      </c>
      <c r="I470" s="54" t="s">
        <v>745</v>
      </c>
      <c r="J470" s="55" t="s">
        <v>72</v>
      </c>
      <c r="K470" s="54" t="s">
        <v>93</v>
      </c>
      <c r="L470" s="56">
        <f>39492+(6*364)</f>
        <v>41676</v>
      </c>
      <c r="M470" s="43">
        <f t="shared" ca="1" si="7"/>
        <v>11</v>
      </c>
    </row>
    <row r="471" spans="1:13" x14ac:dyDescent="0.3">
      <c r="A471" s="49" t="s">
        <v>761</v>
      </c>
      <c r="B471" s="49" t="s">
        <v>93</v>
      </c>
      <c r="C471" s="50">
        <v>69398</v>
      </c>
      <c r="D471" s="51">
        <v>89058</v>
      </c>
      <c r="E471" s="52">
        <v>9704442207</v>
      </c>
      <c r="F471" s="43" t="s">
        <v>91</v>
      </c>
      <c r="G471" s="53">
        <v>127365</v>
      </c>
      <c r="H471" s="54" t="s">
        <v>70</v>
      </c>
      <c r="I471" s="54" t="s">
        <v>539</v>
      </c>
      <c r="J471" s="55" t="s">
        <v>78</v>
      </c>
      <c r="K471" s="54" t="s">
        <v>175</v>
      </c>
      <c r="L471" s="56">
        <f>38689+(6*364)</f>
        <v>40873</v>
      </c>
      <c r="M471" s="43">
        <f t="shared" ca="1" si="7"/>
        <v>14</v>
      </c>
    </row>
    <row r="472" spans="1:13" x14ac:dyDescent="0.3">
      <c r="A472" s="49" t="s">
        <v>383</v>
      </c>
      <c r="B472" s="49" t="s">
        <v>93</v>
      </c>
      <c r="C472" s="50">
        <v>74743</v>
      </c>
      <c r="D472" s="51">
        <v>131742</v>
      </c>
      <c r="E472" s="52">
        <v>3033646601</v>
      </c>
      <c r="F472" s="43"/>
      <c r="G472" s="53">
        <v>56359</v>
      </c>
      <c r="H472" s="54" t="s">
        <v>86</v>
      </c>
      <c r="I472" s="54" t="s">
        <v>291</v>
      </c>
      <c r="J472" s="55" t="s">
        <v>72</v>
      </c>
      <c r="K472" s="54" t="s">
        <v>172</v>
      </c>
      <c r="L472" s="56">
        <f>38403+(6*364)</f>
        <v>40587</v>
      </c>
      <c r="M472" s="43">
        <f t="shared" ca="1" si="7"/>
        <v>14</v>
      </c>
    </row>
    <row r="473" spans="1:13" x14ac:dyDescent="0.3">
      <c r="A473" s="49" t="s">
        <v>388</v>
      </c>
      <c r="B473" s="49" t="s">
        <v>93</v>
      </c>
      <c r="C473" s="50">
        <v>11403</v>
      </c>
      <c r="D473" s="51">
        <v>135874</v>
      </c>
      <c r="E473" s="52">
        <v>7192572783</v>
      </c>
      <c r="F473" s="43" t="s">
        <v>75</v>
      </c>
      <c r="G473" s="53">
        <v>74606</v>
      </c>
      <c r="H473" s="54" t="s">
        <v>70</v>
      </c>
      <c r="I473" s="54" t="s">
        <v>384</v>
      </c>
      <c r="J473" s="55" t="s">
        <v>72</v>
      </c>
      <c r="K473" s="54" t="s">
        <v>89</v>
      </c>
      <c r="L473" s="56">
        <f>38631+(6*364)</f>
        <v>40815</v>
      </c>
      <c r="M473" s="43">
        <f t="shared" ca="1" si="7"/>
        <v>14</v>
      </c>
    </row>
    <row r="474" spans="1:13" x14ac:dyDescent="0.3">
      <c r="A474" s="49" t="s">
        <v>403</v>
      </c>
      <c r="B474" s="49" t="s">
        <v>93</v>
      </c>
      <c r="C474" s="50">
        <v>41447</v>
      </c>
      <c r="D474" s="51">
        <v>73953</v>
      </c>
      <c r="E474" s="52">
        <v>5051667727</v>
      </c>
      <c r="F474" s="43"/>
      <c r="G474" s="53">
        <v>68065</v>
      </c>
      <c r="H474" s="54" t="s">
        <v>86</v>
      </c>
      <c r="I474" s="54" t="s">
        <v>332</v>
      </c>
      <c r="J474" s="55" t="s">
        <v>78</v>
      </c>
      <c r="K474" s="54" t="s">
        <v>73</v>
      </c>
      <c r="L474" s="56">
        <f>35633+(6*364)</f>
        <v>37817</v>
      </c>
      <c r="M474" s="43">
        <f t="shared" ca="1" si="7"/>
        <v>22</v>
      </c>
    </row>
    <row r="475" spans="1:13" x14ac:dyDescent="0.3">
      <c r="A475" s="49" t="s">
        <v>420</v>
      </c>
      <c r="B475" s="49" t="s">
        <v>93</v>
      </c>
      <c r="C475" s="50">
        <v>95834</v>
      </c>
      <c r="D475" s="51">
        <v>25011</v>
      </c>
      <c r="E475" s="52">
        <v>3033274978</v>
      </c>
      <c r="F475" s="43"/>
      <c r="G475" s="53">
        <v>99013</v>
      </c>
      <c r="H475" s="54" t="s">
        <v>86</v>
      </c>
      <c r="I475" s="54" t="s">
        <v>620</v>
      </c>
      <c r="J475" s="55" t="s">
        <v>153</v>
      </c>
      <c r="K475" s="54" t="s">
        <v>79</v>
      </c>
      <c r="L475" s="56">
        <f>36059+(6*364)</f>
        <v>38243</v>
      </c>
      <c r="M475" s="43">
        <f t="shared" ca="1" si="7"/>
        <v>21</v>
      </c>
    </row>
    <row r="476" spans="1:13" x14ac:dyDescent="0.3">
      <c r="A476" s="49" t="s">
        <v>424</v>
      </c>
      <c r="B476" s="49" t="s">
        <v>93</v>
      </c>
      <c r="C476" s="50">
        <v>49630</v>
      </c>
      <c r="D476" s="51">
        <v>118483</v>
      </c>
      <c r="E476" s="52">
        <v>9706299247</v>
      </c>
      <c r="F476" s="43"/>
      <c r="G476" s="53">
        <v>42522</v>
      </c>
      <c r="H476" s="54" t="s">
        <v>86</v>
      </c>
      <c r="I476" s="54" t="s">
        <v>241</v>
      </c>
      <c r="J476" s="55" t="s">
        <v>72</v>
      </c>
      <c r="K476" s="54" t="s">
        <v>79</v>
      </c>
      <c r="L476" s="56">
        <f>35605+(6*364)</f>
        <v>37789</v>
      </c>
      <c r="M476" s="43">
        <f t="shared" ca="1" si="7"/>
        <v>22</v>
      </c>
    </row>
    <row r="477" spans="1:13" x14ac:dyDescent="0.3">
      <c r="A477" s="49" t="s">
        <v>426</v>
      </c>
      <c r="B477" s="49" t="s">
        <v>93</v>
      </c>
      <c r="C477" s="50">
        <v>29002</v>
      </c>
      <c r="D477" s="51">
        <v>80210</v>
      </c>
      <c r="E477" s="52">
        <v>5053631883</v>
      </c>
      <c r="F477" s="43"/>
      <c r="G477" s="53">
        <v>125071</v>
      </c>
      <c r="H477" s="54" t="s">
        <v>108</v>
      </c>
      <c r="I477" s="54" t="s">
        <v>18</v>
      </c>
      <c r="J477" s="55" t="s">
        <v>83</v>
      </c>
      <c r="K477" s="54" t="s">
        <v>172</v>
      </c>
      <c r="L477" s="56">
        <f>36958+(6*364)</f>
        <v>39142</v>
      </c>
      <c r="M477" s="43">
        <f t="shared" ca="1" si="7"/>
        <v>18</v>
      </c>
    </row>
    <row r="478" spans="1:13" x14ac:dyDescent="0.3">
      <c r="A478" s="49" t="s">
        <v>437</v>
      </c>
      <c r="B478" s="49" t="s">
        <v>93</v>
      </c>
      <c r="C478" s="50">
        <v>32219</v>
      </c>
      <c r="D478" s="51">
        <v>95605</v>
      </c>
      <c r="E478" s="52">
        <v>3034471952</v>
      </c>
      <c r="F478" s="43" t="s">
        <v>98</v>
      </c>
      <c r="G478" s="53">
        <v>77832</v>
      </c>
      <c r="H478" s="54" t="s">
        <v>70</v>
      </c>
      <c r="I478" s="54" t="s">
        <v>243</v>
      </c>
      <c r="J478" s="55" t="s">
        <v>88</v>
      </c>
      <c r="K478" s="54" t="s">
        <v>93</v>
      </c>
      <c r="L478" s="56">
        <f>35873+(6*364)</f>
        <v>38057</v>
      </c>
      <c r="M478" s="43">
        <f t="shared" ca="1" si="7"/>
        <v>21</v>
      </c>
    </row>
    <row r="479" spans="1:13" x14ac:dyDescent="0.3">
      <c r="A479" s="49" t="s">
        <v>438</v>
      </c>
      <c r="B479" s="49" t="s">
        <v>93</v>
      </c>
      <c r="C479" s="50">
        <v>79809</v>
      </c>
      <c r="D479" s="51">
        <v>113129</v>
      </c>
      <c r="E479" s="52">
        <v>5057446192</v>
      </c>
      <c r="F479" s="43" t="s">
        <v>91</v>
      </c>
      <c r="G479" s="53">
        <v>65888</v>
      </c>
      <c r="H479" s="54" t="s">
        <v>76</v>
      </c>
      <c r="I479" s="54" t="s">
        <v>163</v>
      </c>
      <c r="J479" s="55" t="s">
        <v>153</v>
      </c>
      <c r="K479" s="54" t="s">
        <v>89</v>
      </c>
      <c r="L479" s="56">
        <f>37453+(6*364)</f>
        <v>39637</v>
      </c>
      <c r="M479" s="43">
        <f t="shared" ca="1" si="7"/>
        <v>17</v>
      </c>
    </row>
    <row r="480" spans="1:13" x14ac:dyDescent="0.3">
      <c r="A480" s="49" t="s">
        <v>446</v>
      </c>
      <c r="B480" s="49" t="s">
        <v>93</v>
      </c>
      <c r="C480" s="50">
        <v>66320</v>
      </c>
      <c r="D480" s="51">
        <v>66618</v>
      </c>
      <c r="E480" s="52">
        <v>7196801348</v>
      </c>
      <c r="F480" s="43" t="s">
        <v>91</v>
      </c>
      <c r="G480" s="53">
        <v>83866</v>
      </c>
      <c r="H480" s="54" t="s">
        <v>70</v>
      </c>
      <c r="I480" s="54" t="s">
        <v>245</v>
      </c>
      <c r="J480" s="55" t="s">
        <v>88</v>
      </c>
      <c r="K480" s="54" t="s">
        <v>106</v>
      </c>
      <c r="L480" s="56">
        <f>35451+(6*364)</f>
        <v>37635</v>
      </c>
      <c r="M480" s="43">
        <f t="shared" ca="1" si="7"/>
        <v>22</v>
      </c>
    </row>
    <row r="481" spans="1:13" x14ac:dyDescent="0.3">
      <c r="A481" s="49" t="s">
        <v>451</v>
      </c>
      <c r="B481" s="49" t="s">
        <v>93</v>
      </c>
      <c r="C481" s="50">
        <v>26408</v>
      </c>
      <c r="D481" s="51">
        <v>112328</v>
      </c>
      <c r="E481" s="52">
        <v>3038560698</v>
      </c>
      <c r="F481" s="43" t="s">
        <v>75</v>
      </c>
      <c r="G481" s="53">
        <v>126663</v>
      </c>
      <c r="H481" s="54" t="s">
        <v>70</v>
      </c>
      <c r="I481" s="54" t="s">
        <v>752</v>
      </c>
      <c r="J481" s="55" t="s">
        <v>88</v>
      </c>
      <c r="K481" s="54" t="s">
        <v>106</v>
      </c>
      <c r="L481" s="56">
        <f>36756+(6*364)</f>
        <v>38940</v>
      </c>
      <c r="M481" s="43">
        <f t="shared" ca="1" si="7"/>
        <v>19</v>
      </c>
    </row>
    <row r="482" spans="1:13" x14ac:dyDescent="0.3">
      <c r="A482" s="49" t="s">
        <v>452</v>
      </c>
      <c r="B482" s="49" t="s">
        <v>93</v>
      </c>
      <c r="C482" s="50">
        <v>74791</v>
      </c>
      <c r="D482" s="51">
        <v>75509</v>
      </c>
      <c r="E482" s="52">
        <v>7195842116</v>
      </c>
      <c r="F482" s="43" t="s">
        <v>91</v>
      </c>
      <c r="G482" s="53">
        <v>87012</v>
      </c>
      <c r="H482" s="54" t="s">
        <v>70</v>
      </c>
      <c r="I482" s="54" t="s">
        <v>656</v>
      </c>
      <c r="J482" s="55" t="s">
        <v>88</v>
      </c>
      <c r="K482" s="54" t="s">
        <v>158</v>
      </c>
      <c r="L482" s="56">
        <f>35537+(6*364)</f>
        <v>37721</v>
      </c>
      <c r="M482" s="43">
        <f t="shared" ca="1" si="7"/>
        <v>22</v>
      </c>
    </row>
    <row r="483" spans="1:13" x14ac:dyDescent="0.3">
      <c r="A483" s="49" t="s">
        <v>765</v>
      </c>
      <c r="B483" s="49" t="s">
        <v>93</v>
      </c>
      <c r="C483" s="50">
        <v>60963</v>
      </c>
      <c r="D483" s="51">
        <v>112415</v>
      </c>
      <c r="E483" s="52">
        <v>9705520461</v>
      </c>
      <c r="F483" s="43"/>
      <c r="G483" s="53">
        <v>46435</v>
      </c>
      <c r="H483" s="54" t="s">
        <v>86</v>
      </c>
      <c r="I483" s="54" t="s">
        <v>753</v>
      </c>
      <c r="J483" s="55" t="s">
        <v>100</v>
      </c>
      <c r="K483" s="54" t="s">
        <v>89</v>
      </c>
      <c r="L483" s="56">
        <f>36507+(6*364)</f>
        <v>38691</v>
      </c>
      <c r="M483" s="43">
        <f t="shared" ca="1" si="7"/>
        <v>20</v>
      </c>
    </row>
    <row r="484" spans="1:13" x14ac:dyDescent="0.3">
      <c r="A484" s="49" t="s">
        <v>453</v>
      </c>
      <c r="B484" s="49" t="s">
        <v>93</v>
      </c>
      <c r="C484" s="50">
        <v>95322</v>
      </c>
      <c r="D484" s="51">
        <v>94035</v>
      </c>
      <c r="E484" s="52">
        <v>9702126707</v>
      </c>
      <c r="F484" s="43" t="s">
        <v>98</v>
      </c>
      <c r="G484" s="53">
        <v>61285</v>
      </c>
      <c r="H484" s="54" t="s">
        <v>70</v>
      </c>
      <c r="I484" s="54" t="s">
        <v>754</v>
      </c>
      <c r="J484" s="55" t="s">
        <v>72</v>
      </c>
      <c r="K484" s="54" t="s">
        <v>84</v>
      </c>
      <c r="L484" s="56">
        <f>40286+(6*364)</f>
        <v>42470</v>
      </c>
      <c r="M484" s="43">
        <f t="shared" ca="1" si="7"/>
        <v>9</v>
      </c>
    </row>
    <row r="485" spans="1:13" x14ac:dyDescent="0.3">
      <c r="A485" s="49" t="s">
        <v>767</v>
      </c>
      <c r="B485" s="49" t="s">
        <v>93</v>
      </c>
      <c r="C485" s="50">
        <v>71984</v>
      </c>
      <c r="D485" s="51">
        <v>98692</v>
      </c>
      <c r="E485" s="52">
        <v>7197046530</v>
      </c>
      <c r="F485" s="43"/>
      <c r="G485" s="53">
        <v>32936</v>
      </c>
      <c r="H485" s="54" t="s">
        <v>86</v>
      </c>
      <c r="I485" s="54" t="s">
        <v>755</v>
      </c>
      <c r="J485" s="55" t="s">
        <v>72</v>
      </c>
      <c r="K485" s="54" t="s">
        <v>79</v>
      </c>
      <c r="L485" s="56">
        <f>36210+(6*364)</f>
        <v>38394</v>
      </c>
      <c r="M485" s="43">
        <f t="shared" ca="1" si="7"/>
        <v>20</v>
      </c>
    </row>
    <row r="486" spans="1:13" x14ac:dyDescent="0.3">
      <c r="A486" s="49" t="s">
        <v>557</v>
      </c>
      <c r="B486" s="49" t="s">
        <v>93</v>
      </c>
      <c r="C486" s="50">
        <v>37044</v>
      </c>
      <c r="D486" s="51">
        <v>69774</v>
      </c>
      <c r="E486" s="52">
        <v>7196259106</v>
      </c>
      <c r="F486" s="43" t="s">
        <v>98</v>
      </c>
      <c r="G486" s="53">
        <v>48570</v>
      </c>
      <c r="H486" s="54" t="s">
        <v>76</v>
      </c>
      <c r="I486" s="54" t="s">
        <v>540</v>
      </c>
      <c r="J486" s="55" t="s">
        <v>72</v>
      </c>
      <c r="K486" s="54" t="s">
        <v>342</v>
      </c>
      <c r="L486" s="56">
        <f>40511+(6*364)</f>
        <v>42695</v>
      </c>
      <c r="M486" s="43">
        <f t="shared" ca="1" si="7"/>
        <v>9</v>
      </c>
    </row>
    <row r="487" spans="1:13" x14ac:dyDescent="0.3">
      <c r="A487" s="49" t="s">
        <v>580</v>
      </c>
      <c r="B487" s="49" t="s">
        <v>93</v>
      </c>
      <c r="C487" s="50">
        <v>55916</v>
      </c>
      <c r="D487" s="51">
        <v>113929</v>
      </c>
      <c r="E487" s="52">
        <v>3037557761</v>
      </c>
      <c r="F487" s="43" t="s">
        <v>98</v>
      </c>
      <c r="G487" s="53">
        <v>94208</v>
      </c>
      <c r="H487" s="54" t="s">
        <v>76</v>
      </c>
      <c r="I487" s="54" t="s">
        <v>541</v>
      </c>
      <c r="J487" s="55" t="s">
        <v>78</v>
      </c>
      <c r="K487" s="54" t="s">
        <v>73</v>
      </c>
      <c r="L487" s="56">
        <f>36685+(6*364)</f>
        <v>38869</v>
      </c>
      <c r="M487" s="43">
        <f t="shared" ca="1" si="7"/>
        <v>19</v>
      </c>
    </row>
    <row r="488" spans="1:13" x14ac:dyDescent="0.3">
      <c r="A488" s="49" t="s">
        <v>587</v>
      </c>
      <c r="B488" s="49" t="s">
        <v>93</v>
      </c>
      <c r="C488" s="50">
        <v>34892</v>
      </c>
      <c r="D488" s="51">
        <v>32940</v>
      </c>
      <c r="E488" s="52">
        <v>7194373324</v>
      </c>
      <c r="F488" s="43"/>
      <c r="G488" s="53">
        <v>27623</v>
      </c>
      <c r="H488" s="54" t="s">
        <v>86</v>
      </c>
      <c r="I488" s="54" t="s">
        <v>247</v>
      </c>
      <c r="J488" s="55" t="s">
        <v>88</v>
      </c>
      <c r="K488" s="54" t="s">
        <v>146</v>
      </c>
      <c r="L488" s="56">
        <f>38099+(6*364)</f>
        <v>40283</v>
      </c>
      <c r="M488" s="43">
        <f t="shared" ca="1" si="7"/>
        <v>15</v>
      </c>
    </row>
    <row r="489" spans="1:13" x14ac:dyDescent="0.3">
      <c r="A489" s="49" t="s">
        <v>591</v>
      </c>
      <c r="B489" s="49" t="s">
        <v>93</v>
      </c>
      <c r="C489" s="50">
        <v>69475</v>
      </c>
      <c r="D489" s="51">
        <v>95999</v>
      </c>
      <c r="E489" s="52">
        <v>3036188082</v>
      </c>
      <c r="F489" s="43"/>
      <c r="G489" s="53">
        <v>31222</v>
      </c>
      <c r="H489" s="54" t="s">
        <v>86</v>
      </c>
      <c r="I489" s="54" t="s">
        <v>725</v>
      </c>
      <c r="J489" s="55" t="s">
        <v>83</v>
      </c>
      <c r="K489" s="54" t="s">
        <v>79</v>
      </c>
      <c r="L489" s="56">
        <f>42460+(6*364)</f>
        <v>44644</v>
      </c>
      <c r="M489" s="43">
        <f t="shared" ca="1" si="7"/>
        <v>3</v>
      </c>
    </row>
    <row r="490" spans="1:13" x14ac:dyDescent="0.3">
      <c r="A490" s="49" t="s">
        <v>599</v>
      </c>
      <c r="B490" s="49" t="s">
        <v>93</v>
      </c>
      <c r="C490" s="50">
        <v>30023</v>
      </c>
      <c r="D490" s="51">
        <v>82184</v>
      </c>
      <c r="E490" s="52">
        <v>7197852326</v>
      </c>
      <c r="F490" s="43" t="s">
        <v>98</v>
      </c>
      <c r="G490" s="53">
        <v>108089</v>
      </c>
      <c r="H490" s="54" t="s">
        <v>70</v>
      </c>
      <c r="I490" s="54" t="s">
        <v>746</v>
      </c>
      <c r="J490" s="55" t="s">
        <v>78</v>
      </c>
      <c r="K490" s="54" t="s">
        <v>79</v>
      </c>
      <c r="L490" s="56">
        <f>37442+(6*364)</f>
        <v>39626</v>
      </c>
      <c r="M490" s="43">
        <f t="shared" ca="1" si="7"/>
        <v>17</v>
      </c>
    </row>
    <row r="491" spans="1:13" x14ac:dyDescent="0.3">
      <c r="A491" s="49" t="s">
        <v>603</v>
      </c>
      <c r="B491" s="49" t="s">
        <v>93</v>
      </c>
      <c r="C491" s="50">
        <v>27144</v>
      </c>
      <c r="D491" s="51">
        <v>38082</v>
      </c>
      <c r="E491" s="52">
        <v>7198973095</v>
      </c>
      <c r="F491" s="43" t="s">
        <v>69</v>
      </c>
      <c r="G491" s="53">
        <v>124927</v>
      </c>
      <c r="H491" s="54" t="s">
        <v>70</v>
      </c>
      <c r="I491" s="54" t="s">
        <v>756</v>
      </c>
      <c r="J491" s="55" t="s">
        <v>72</v>
      </c>
      <c r="K491" s="54" t="s">
        <v>93</v>
      </c>
      <c r="L491" s="56">
        <f>41286+(6*364)</f>
        <v>43470</v>
      </c>
      <c r="M491" s="43">
        <f t="shared" ca="1" si="7"/>
        <v>6</v>
      </c>
    </row>
    <row r="492" spans="1:13" x14ac:dyDescent="0.3">
      <c r="A492" s="49" t="s">
        <v>618</v>
      </c>
      <c r="B492" s="49" t="s">
        <v>93</v>
      </c>
      <c r="C492" s="50">
        <v>92691</v>
      </c>
      <c r="D492" s="51">
        <v>73196</v>
      </c>
      <c r="E492" s="52">
        <v>3034603155</v>
      </c>
      <c r="F492" s="43" t="s">
        <v>98</v>
      </c>
      <c r="G492" s="53">
        <v>114089</v>
      </c>
      <c r="H492" s="54" t="s">
        <v>70</v>
      </c>
      <c r="I492" s="54" t="s">
        <v>757</v>
      </c>
      <c r="J492" s="55" t="s">
        <v>88</v>
      </c>
      <c r="K492" s="54" t="s">
        <v>89</v>
      </c>
      <c r="L492" s="56">
        <f>37444+(6*364)</f>
        <v>39628</v>
      </c>
      <c r="M492" s="43">
        <f t="shared" ca="1" si="7"/>
        <v>17</v>
      </c>
    </row>
    <row r="493" spans="1:13" x14ac:dyDescent="0.3">
      <c r="A493" s="49" t="s">
        <v>633</v>
      </c>
      <c r="B493" s="49" t="s">
        <v>93</v>
      </c>
      <c r="C493" s="50">
        <v>39238</v>
      </c>
      <c r="D493" s="51">
        <v>75770</v>
      </c>
      <c r="E493" s="52">
        <v>9703122083</v>
      </c>
      <c r="F493" s="43" t="s">
        <v>69</v>
      </c>
      <c r="G493" s="53">
        <v>75925</v>
      </c>
      <c r="H493" s="54" t="s">
        <v>70</v>
      </c>
      <c r="I493" s="54" t="s">
        <v>334</v>
      </c>
      <c r="J493" s="55" t="s">
        <v>72</v>
      </c>
      <c r="K493" s="54" t="s">
        <v>79</v>
      </c>
      <c r="L493" s="56">
        <f>38880+(6*364)</f>
        <v>41064</v>
      </c>
      <c r="M493" s="43">
        <f t="shared" ca="1" si="7"/>
        <v>13</v>
      </c>
    </row>
    <row r="494" spans="1:13" x14ac:dyDescent="0.3">
      <c r="A494" s="49" t="s">
        <v>636</v>
      </c>
      <c r="B494" s="49" t="s">
        <v>93</v>
      </c>
      <c r="C494" s="50">
        <v>80905</v>
      </c>
      <c r="D494" s="51">
        <v>86045</v>
      </c>
      <c r="E494" s="52">
        <v>3032433774</v>
      </c>
      <c r="F494" s="43" t="s">
        <v>98</v>
      </c>
      <c r="G494" s="53">
        <v>42290</v>
      </c>
      <c r="H494" s="54" t="s">
        <v>70</v>
      </c>
      <c r="I494" s="54" t="s">
        <v>305</v>
      </c>
      <c r="J494" s="55" t="s">
        <v>83</v>
      </c>
      <c r="K494" s="54" t="s">
        <v>79</v>
      </c>
      <c r="L494" s="56">
        <f>35845+(6*364)</f>
        <v>38029</v>
      </c>
      <c r="M494" s="43">
        <f t="shared" ca="1" si="7"/>
        <v>21</v>
      </c>
    </row>
    <row r="495" spans="1:13" x14ac:dyDescent="0.3">
      <c r="A495" s="49" t="s">
        <v>641</v>
      </c>
      <c r="B495" s="49" t="s">
        <v>93</v>
      </c>
      <c r="C495" s="50">
        <v>43219</v>
      </c>
      <c r="D495" s="51">
        <v>72104</v>
      </c>
      <c r="E495" s="52">
        <v>9708857217</v>
      </c>
      <c r="F495" s="43"/>
      <c r="G495" s="53">
        <v>60409</v>
      </c>
      <c r="H495" s="54" t="s">
        <v>86</v>
      </c>
      <c r="I495" s="54" t="s">
        <v>758</v>
      </c>
      <c r="J495" s="55" t="s">
        <v>100</v>
      </c>
      <c r="K495" s="54" t="s">
        <v>172</v>
      </c>
      <c r="L495" s="56">
        <f>39951+(6*364)</f>
        <v>42135</v>
      </c>
      <c r="M495" s="43">
        <f t="shared" ca="1" si="7"/>
        <v>10</v>
      </c>
    </row>
    <row r="496" spans="1:13" x14ac:dyDescent="0.3">
      <c r="A496" s="49" t="s">
        <v>661</v>
      </c>
      <c r="B496" s="49" t="s">
        <v>93</v>
      </c>
      <c r="C496" s="50">
        <v>91568</v>
      </c>
      <c r="D496" s="51">
        <v>74083</v>
      </c>
      <c r="E496" s="52">
        <v>9701308831</v>
      </c>
      <c r="F496" s="43" t="s">
        <v>81</v>
      </c>
      <c r="G496" s="53">
        <v>47007</v>
      </c>
      <c r="H496" s="54" t="s">
        <v>76</v>
      </c>
      <c r="I496" s="54" t="s">
        <v>760</v>
      </c>
      <c r="J496" s="55" t="s">
        <v>72</v>
      </c>
      <c r="K496" s="54" t="s">
        <v>84</v>
      </c>
      <c r="L496" s="56">
        <f>35619+(6*364)</f>
        <v>37803</v>
      </c>
      <c r="M496" s="43">
        <f t="shared" ca="1" si="7"/>
        <v>22</v>
      </c>
    </row>
    <row r="497" spans="1:13" x14ac:dyDescent="0.3">
      <c r="A497" s="49" t="s">
        <v>680</v>
      </c>
      <c r="B497" s="49" t="s">
        <v>93</v>
      </c>
      <c r="C497" s="50">
        <v>91078</v>
      </c>
      <c r="D497" s="51">
        <v>50717</v>
      </c>
      <c r="E497" s="52">
        <v>9702889972</v>
      </c>
      <c r="F497" s="43" t="s">
        <v>91</v>
      </c>
      <c r="G497" s="53">
        <v>109875</v>
      </c>
      <c r="H497" s="54" t="s">
        <v>76</v>
      </c>
      <c r="I497" s="54" t="s">
        <v>543</v>
      </c>
      <c r="J497" s="55" t="s">
        <v>83</v>
      </c>
      <c r="K497" s="54" t="s">
        <v>103</v>
      </c>
      <c r="L497" s="56">
        <f>41602+(6*364)</f>
        <v>43786</v>
      </c>
      <c r="M497" s="43">
        <f t="shared" ca="1" si="7"/>
        <v>6</v>
      </c>
    </row>
    <row r="498" spans="1:13" x14ac:dyDescent="0.3">
      <c r="A498" s="49" t="s">
        <v>683</v>
      </c>
      <c r="B498" s="49" t="s">
        <v>93</v>
      </c>
      <c r="C498" s="50">
        <v>83004</v>
      </c>
      <c r="D498" s="51">
        <v>91008</v>
      </c>
      <c r="E498" s="52">
        <v>5055770085</v>
      </c>
      <c r="F498" s="43" t="s">
        <v>91</v>
      </c>
      <c r="G498" s="53">
        <v>59377</v>
      </c>
      <c r="H498" s="54" t="s">
        <v>76</v>
      </c>
      <c r="I498" s="54" t="s">
        <v>386</v>
      </c>
      <c r="J498" s="55" t="s">
        <v>153</v>
      </c>
      <c r="K498" s="54" t="s">
        <v>131</v>
      </c>
      <c r="L498" s="56">
        <f>41312+(6*364)</f>
        <v>43496</v>
      </c>
      <c r="M498" s="43">
        <f t="shared" ca="1" si="7"/>
        <v>6</v>
      </c>
    </row>
    <row r="499" spans="1:13" x14ac:dyDescent="0.3">
      <c r="A499" s="49" t="s">
        <v>684</v>
      </c>
      <c r="B499" s="49" t="s">
        <v>93</v>
      </c>
      <c r="C499" s="50">
        <v>47891</v>
      </c>
      <c r="D499" s="51">
        <v>82460</v>
      </c>
      <c r="E499" s="52">
        <v>5058627048</v>
      </c>
      <c r="F499" s="43" t="s">
        <v>81</v>
      </c>
      <c r="G499" s="53">
        <v>93137</v>
      </c>
      <c r="H499" s="54" t="s">
        <v>76</v>
      </c>
      <c r="I499" s="54" t="s">
        <v>307</v>
      </c>
      <c r="J499" s="55" t="s">
        <v>100</v>
      </c>
      <c r="K499" s="54" t="s">
        <v>73</v>
      </c>
      <c r="L499" s="56">
        <f>41978+(6*364)</f>
        <v>44162</v>
      </c>
      <c r="M499" s="43">
        <f t="shared" ca="1" si="7"/>
        <v>5</v>
      </c>
    </row>
    <row r="500" spans="1:13" x14ac:dyDescent="0.3">
      <c r="A500" s="49" t="s">
        <v>685</v>
      </c>
      <c r="B500" s="49" t="s">
        <v>93</v>
      </c>
      <c r="C500" s="50">
        <v>76552</v>
      </c>
      <c r="D500" s="51">
        <v>110378</v>
      </c>
      <c r="E500" s="52">
        <v>3034138160</v>
      </c>
      <c r="F500" s="43" t="s">
        <v>69</v>
      </c>
      <c r="G500" s="53">
        <v>35929</v>
      </c>
      <c r="H500" s="54" t="s">
        <v>70</v>
      </c>
      <c r="I500" s="54" t="s">
        <v>762</v>
      </c>
      <c r="J500" s="55" t="s">
        <v>72</v>
      </c>
      <c r="K500" s="54" t="s">
        <v>79</v>
      </c>
      <c r="L500" s="56">
        <f>35315+(6*364)</f>
        <v>37499</v>
      </c>
      <c r="M500" s="43">
        <f t="shared" ca="1" si="7"/>
        <v>23</v>
      </c>
    </row>
    <row r="501" spans="1:13" x14ac:dyDescent="0.3">
      <c r="A501" s="49" t="s">
        <v>689</v>
      </c>
      <c r="B501" s="49" t="s">
        <v>93</v>
      </c>
      <c r="C501" s="50">
        <v>28166</v>
      </c>
      <c r="D501" s="51">
        <v>80352</v>
      </c>
      <c r="E501" s="52">
        <v>3034729409</v>
      </c>
      <c r="F501" s="43" t="s">
        <v>75</v>
      </c>
      <c r="G501" s="53">
        <v>126688</v>
      </c>
      <c r="H501" s="54" t="s">
        <v>76</v>
      </c>
      <c r="I501" s="54" t="s">
        <v>545</v>
      </c>
      <c r="J501" s="55" t="s">
        <v>100</v>
      </c>
      <c r="K501" s="54" t="s">
        <v>172</v>
      </c>
      <c r="L501" s="56">
        <f>35945+(6*364)</f>
        <v>38129</v>
      </c>
      <c r="M501" s="43">
        <f t="shared" ca="1" si="7"/>
        <v>21</v>
      </c>
    </row>
    <row r="502" spans="1:13" x14ac:dyDescent="0.3">
      <c r="A502" s="49" t="s">
        <v>690</v>
      </c>
      <c r="B502" s="49" t="s">
        <v>93</v>
      </c>
      <c r="C502" s="50">
        <v>65077</v>
      </c>
      <c r="D502" s="51">
        <v>102534</v>
      </c>
      <c r="E502" s="52">
        <v>7198502926</v>
      </c>
      <c r="F502" s="43"/>
      <c r="G502" s="53">
        <v>93928</v>
      </c>
      <c r="H502" s="54" t="s">
        <v>86</v>
      </c>
      <c r="I502" s="54" t="s">
        <v>387</v>
      </c>
      <c r="J502" s="55" t="s">
        <v>100</v>
      </c>
      <c r="K502" s="54" t="s">
        <v>84</v>
      </c>
      <c r="L502" s="56">
        <f>38123+(6*364)</f>
        <v>40307</v>
      </c>
      <c r="M502" s="43">
        <f t="shared" ca="1" si="7"/>
        <v>15</v>
      </c>
    </row>
    <row r="503" spans="1:13" x14ac:dyDescent="0.3">
      <c r="A503" s="49" t="s">
        <v>693</v>
      </c>
      <c r="B503" s="49" t="s">
        <v>93</v>
      </c>
      <c r="C503" s="50">
        <v>67557</v>
      </c>
      <c r="D503" s="51">
        <v>97425</v>
      </c>
      <c r="E503" s="52">
        <v>3036354278</v>
      </c>
      <c r="F503" s="43" t="s">
        <v>98</v>
      </c>
      <c r="G503" s="53">
        <v>129452</v>
      </c>
      <c r="H503" s="54" t="s">
        <v>76</v>
      </c>
      <c r="I503" s="54" t="s">
        <v>249</v>
      </c>
      <c r="J503" s="55" t="s">
        <v>78</v>
      </c>
      <c r="K503" s="54" t="s">
        <v>103</v>
      </c>
      <c r="L503" s="56">
        <f>42327+(6*364)</f>
        <v>44511</v>
      </c>
      <c r="M503" s="43">
        <f t="shared" ca="1" si="7"/>
        <v>4</v>
      </c>
    </row>
    <row r="504" spans="1:13" x14ac:dyDescent="0.3">
      <c r="A504" s="49" t="s">
        <v>703</v>
      </c>
      <c r="B504" s="49" t="s">
        <v>93</v>
      </c>
      <c r="C504" s="50">
        <v>39211</v>
      </c>
      <c r="D504" s="51">
        <v>76950</v>
      </c>
      <c r="E504" s="52">
        <v>7197111802</v>
      </c>
      <c r="F504" s="43" t="s">
        <v>75</v>
      </c>
      <c r="G504" s="53">
        <v>40306</v>
      </c>
      <c r="H504" s="54" t="s">
        <v>70</v>
      </c>
      <c r="I504" s="54" t="s">
        <v>621</v>
      </c>
      <c r="J504" s="55" t="s">
        <v>88</v>
      </c>
      <c r="K504" s="54" t="s">
        <v>355</v>
      </c>
      <c r="L504" s="56">
        <f>36325+(6*364)</f>
        <v>38509</v>
      </c>
      <c r="M504" s="43">
        <f t="shared" ca="1" si="7"/>
        <v>20</v>
      </c>
    </row>
    <row r="505" spans="1:13" x14ac:dyDescent="0.3">
      <c r="A505" s="49" t="s">
        <v>706</v>
      </c>
      <c r="B505" s="49" t="s">
        <v>93</v>
      </c>
      <c r="C505" s="50">
        <v>66143</v>
      </c>
      <c r="D505" s="51">
        <v>137068</v>
      </c>
      <c r="E505" s="52">
        <v>3037237007</v>
      </c>
      <c r="F505" s="43"/>
      <c r="G505" s="53">
        <v>53448</v>
      </c>
      <c r="H505" s="54" t="s">
        <v>86</v>
      </c>
      <c r="I505" s="54" t="s">
        <v>658</v>
      </c>
      <c r="J505" s="55" t="s">
        <v>88</v>
      </c>
      <c r="K505" s="54" t="s">
        <v>172</v>
      </c>
      <c r="L505" s="56">
        <f>35776+(6*364)</f>
        <v>37960</v>
      </c>
      <c r="M505" s="43">
        <f t="shared" ca="1" si="7"/>
        <v>22</v>
      </c>
    </row>
    <row r="506" spans="1:13" x14ac:dyDescent="0.3">
      <c r="A506" s="49" t="s">
        <v>707</v>
      </c>
      <c r="B506" s="49" t="s">
        <v>93</v>
      </c>
      <c r="C506" s="50">
        <v>58172</v>
      </c>
      <c r="D506" s="51">
        <v>65244</v>
      </c>
      <c r="E506" s="52">
        <v>7191246633</v>
      </c>
      <c r="F506" s="43" t="s">
        <v>81</v>
      </c>
      <c r="G506" s="53">
        <v>40055</v>
      </c>
      <c r="H506" s="54" t="s">
        <v>70</v>
      </c>
      <c r="I506" s="54" t="s">
        <v>763</v>
      </c>
      <c r="J506" s="55" t="s">
        <v>88</v>
      </c>
      <c r="K506" s="54" t="s">
        <v>172</v>
      </c>
      <c r="L506" s="56">
        <f>36209+(6*364)</f>
        <v>38393</v>
      </c>
      <c r="M506" s="43">
        <f t="shared" ca="1" si="7"/>
        <v>20</v>
      </c>
    </row>
    <row r="507" spans="1:13" x14ac:dyDescent="0.3">
      <c r="A507" s="49" t="s">
        <v>715</v>
      </c>
      <c r="B507" s="49" t="s">
        <v>93</v>
      </c>
      <c r="C507" s="50">
        <v>37238</v>
      </c>
      <c r="D507" s="51">
        <v>29040</v>
      </c>
      <c r="E507" s="52">
        <v>3038426889</v>
      </c>
      <c r="F507" s="43"/>
      <c r="G507" s="53">
        <v>46174</v>
      </c>
      <c r="H507" s="54" t="s">
        <v>86</v>
      </c>
      <c r="I507" s="54" t="s">
        <v>764</v>
      </c>
      <c r="J507" s="55" t="s">
        <v>72</v>
      </c>
      <c r="K507" s="54" t="s">
        <v>106</v>
      </c>
      <c r="L507" s="56">
        <f>38932+(6*364)</f>
        <v>41116</v>
      </c>
      <c r="M507" s="43">
        <f t="shared" ca="1" si="7"/>
        <v>13</v>
      </c>
    </row>
    <row r="508" spans="1:13" x14ac:dyDescent="0.3">
      <c r="A508" s="49" t="s">
        <v>728</v>
      </c>
      <c r="B508" s="49" t="s">
        <v>93</v>
      </c>
      <c r="C508" s="50">
        <v>54859</v>
      </c>
      <c r="D508" s="51">
        <v>94035</v>
      </c>
      <c r="E508" s="52">
        <v>7198488350</v>
      </c>
      <c r="F508" s="43" t="s">
        <v>69</v>
      </c>
      <c r="G508" s="53">
        <v>59168</v>
      </c>
      <c r="H508" s="54" t="s">
        <v>70</v>
      </c>
      <c r="I508" s="54" t="s">
        <v>21</v>
      </c>
      <c r="J508" s="55" t="s">
        <v>78</v>
      </c>
      <c r="K508" s="54" t="s">
        <v>103</v>
      </c>
      <c r="L508" s="56">
        <f>39394+(6*364)</f>
        <v>41578</v>
      </c>
      <c r="M508" s="43">
        <f t="shared" ca="1" si="7"/>
        <v>12</v>
      </c>
    </row>
    <row r="509" spans="1:13" x14ac:dyDescent="0.3">
      <c r="A509" s="49" t="s">
        <v>780</v>
      </c>
      <c r="B509" s="49" t="s">
        <v>93</v>
      </c>
      <c r="C509" s="50">
        <v>92407</v>
      </c>
      <c r="D509" s="51">
        <v>96233</v>
      </c>
      <c r="E509" s="52">
        <v>3038824849</v>
      </c>
      <c r="F509" s="43"/>
      <c r="G509" s="53">
        <v>37275</v>
      </c>
      <c r="H509" s="54" t="s">
        <v>86</v>
      </c>
      <c r="I509" s="54" t="s">
        <v>547</v>
      </c>
      <c r="J509" s="55" t="s">
        <v>153</v>
      </c>
      <c r="K509" s="54" t="s">
        <v>79</v>
      </c>
      <c r="L509" s="56">
        <f>37204+(6*364)</f>
        <v>39388</v>
      </c>
      <c r="M509" s="43">
        <f t="shared" ca="1" si="7"/>
        <v>18</v>
      </c>
    </row>
    <row r="510" spans="1:13" x14ac:dyDescent="0.3">
      <c r="A510" s="49" t="s">
        <v>753</v>
      </c>
      <c r="B510" s="49" t="s">
        <v>93</v>
      </c>
      <c r="C510" s="50">
        <v>69920</v>
      </c>
      <c r="D510" s="51">
        <v>72249</v>
      </c>
      <c r="E510" s="52">
        <v>5053766803</v>
      </c>
      <c r="F510" s="43"/>
      <c r="G510" s="53">
        <v>82760</v>
      </c>
      <c r="H510" s="54" t="s">
        <v>86</v>
      </c>
      <c r="I510" s="54" t="s">
        <v>726</v>
      </c>
      <c r="J510" s="55" t="s">
        <v>88</v>
      </c>
      <c r="K510" s="54" t="s">
        <v>189</v>
      </c>
      <c r="L510" s="56">
        <f>42237+(6*364)</f>
        <v>44421</v>
      </c>
      <c r="M510" s="43">
        <f t="shared" ca="1" si="7"/>
        <v>4</v>
      </c>
    </row>
    <row r="511" spans="1:13" x14ac:dyDescent="0.3">
      <c r="A511" s="49" t="s">
        <v>755</v>
      </c>
      <c r="B511" s="49" t="s">
        <v>93</v>
      </c>
      <c r="C511" s="50">
        <v>90928</v>
      </c>
      <c r="D511" s="51">
        <v>53084</v>
      </c>
      <c r="E511" s="52">
        <v>7196458440</v>
      </c>
      <c r="F511" s="43" t="s">
        <v>98</v>
      </c>
      <c r="G511" s="53">
        <v>51886</v>
      </c>
      <c r="H511" s="54" t="s">
        <v>70</v>
      </c>
      <c r="I511" s="54" t="s">
        <v>766</v>
      </c>
      <c r="J511" s="55" t="s">
        <v>83</v>
      </c>
      <c r="K511" s="54" t="s">
        <v>158</v>
      </c>
      <c r="L511" s="56">
        <f>39536+(6*364)</f>
        <v>41720</v>
      </c>
      <c r="M511" s="43">
        <f t="shared" ca="1" si="7"/>
        <v>11</v>
      </c>
    </row>
    <row r="512" spans="1:13" x14ac:dyDescent="0.3">
      <c r="A512" s="49" t="s">
        <v>756</v>
      </c>
      <c r="B512" s="49" t="s">
        <v>93</v>
      </c>
      <c r="C512" s="50">
        <v>60812</v>
      </c>
      <c r="D512" s="51">
        <v>118542</v>
      </c>
      <c r="E512" s="52">
        <v>5057803578</v>
      </c>
      <c r="F512" s="43"/>
      <c r="G512" s="53">
        <v>84454</v>
      </c>
      <c r="H512" s="54" t="s">
        <v>86</v>
      </c>
      <c r="I512" s="54" t="s">
        <v>747</v>
      </c>
      <c r="J512" s="55" t="s">
        <v>72</v>
      </c>
      <c r="K512" s="54" t="s">
        <v>204</v>
      </c>
      <c r="L512" s="56">
        <f>35110+(6*364)</f>
        <v>37294</v>
      </c>
      <c r="M512" s="43">
        <f t="shared" ca="1" si="7"/>
        <v>23</v>
      </c>
    </row>
    <row r="513" spans="1:13" x14ac:dyDescent="0.3">
      <c r="A513" s="49" t="s">
        <v>762</v>
      </c>
      <c r="B513" s="49" t="s">
        <v>93</v>
      </c>
      <c r="C513" s="50">
        <v>32067</v>
      </c>
      <c r="D513" s="51">
        <v>73473</v>
      </c>
      <c r="E513" s="52">
        <v>5055786813</v>
      </c>
      <c r="F513" s="43"/>
      <c r="G513" s="53">
        <v>57039</v>
      </c>
      <c r="H513" s="54" t="s">
        <v>108</v>
      </c>
      <c r="I513" s="54" t="s">
        <v>768</v>
      </c>
      <c r="J513" s="55" t="s">
        <v>83</v>
      </c>
      <c r="K513" s="54" t="s">
        <v>95</v>
      </c>
      <c r="L513" s="56">
        <f>40993+(6*364)</f>
        <v>43177</v>
      </c>
      <c r="M513" s="43">
        <f t="shared" ca="1" si="7"/>
        <v>7</v>
      </c>
    </row>
    <row r="514" spans="1:13" x14ac:dyDescent="0.3">
      <c r="A514" s="49" t="s">
        <v>764</v>
      </c>
      <c r="B514" s="49" t="s">
        <v>93</v>
      </c>
      <c r="C514" s="50">
        <v>44695</v>
      </c>
      <c r="D514" s="51">
        <v>95869</v>
      </c>
      <c r="E514" s="52">
        <v>7194697218</v>
      </c>
      <c r="F514" s="43" t="s">
        <v>75</v>
      </c>
      <c r="G514" s="53">
        <v>65021</v>
      </c>
      <c r="H514" s="54" t="s">
        <v>70</v>
      </c>
      <c r="I514" s="54" t="s">
        <v>769</v>
      </c>
      <c r="J514" s="55" t="s">
        <v>88</v>
      </c>
      <c r="K514" s="54" t="s">
        <v>93</v>
      </c>
      <c r="L514" s="56">
        <f>36146+(6*364)</f>
        <v>38330</v>
      </c>
      <c r="M514" s="43">
        <f t="shared" ref="M514:M577" ca="1" si="8">DATEDIF(L514,TODAY(),"Y")</f>
        <v>21</v>
      </c>
    </row>
    <row r="515" spans="1:13" x14ac:dyDescent="0.3">
      <c r="A515" s="49" t="s">
        <v>768</v>
      </c>
      <c r="B515" s="49" t="s">
        <v>93</v>
      </c>
      <c r="C515" s="50">
        <v>48869</v>
      </c>
      <c r="D515" s="51">
        <v>24859</v>
      </c>
      <c r="E515" s="52">
        <v>5051683770</v>
      </c>
      <c r="F515" s="43" t="s">
        <v>98</v>
      </c>
      <c r="G515" s="53">
        <v>76700</v>
      </c>
      <c r="H515" s="54" t="s">
        <v>76</v>
      </c>
      <c r="I515" s="54" t="s">
        <v>308</v>
      </c>
      <c r="J515" s="55" t="s">
        <v>83</v>
      </c>
      <c r="K515" s="54" t="s">
        <v>93</v>
      </c>
      <c r="L515" s="56">
        <f>40347+(6*364)</f>
        <v>42531</v>
      </c>
      <c r="M515" s="43">
        <f t="shared" ca="1" si="8"/>
        <v>9</v>
      </c>
    </row>
    <row r="516" spans="1:13" x14ac:dyDescent="0.3">
      <c r="A516" s="49" t="s">
        <v>771</v>
      </c>
      <c r="B516" s="49" t="s">
        <v>93</v>
      </c>
      <c r="C516" s="50">
        <v>91643</v>
      </c>
      <c r="D516" s="51">
        <v>97844</v>
      </c>
      <c r="E516" s="52">
        <v>9702712826</v>
      </c>
      <c r="F516" s="43" t="s">
        <v>98</v>
      </c>
      <c r="G516" s="53">
        <v>108195</v>
      </c>
      <c r="H516" s="54" t="s">
        <v>70</v>
      </c>
      <c r="I516" s="54" t="s">
        <v>770</v>
      </c>
      <c r="J516" s="55" t="s">
        <v>78</v>
      </c>
      <c r="K516" s="54" t="s">
        <v>106</v>
      </c>
      <c r="L516" s="56">
        <f>38011+(6*364)</f>
        <v>40195</v>
      </c>
      <c r="M516" s="43">
        <f t="shared" ca="1" si="8"/>
        <v>15</v>
      </c>
    </row>
    <row r="517" spans="1:13" x14ac:dyDescent="0.3">
      <c r="A517" s="49" t="s">
        <v>777</v>
      </c>
      <c r="B517" s="49" t="s">
        <v>93</v>
      </c>
      <c r="C517" s="50">
        <v>13021</v>
      </c>
      <c r="D517" s="51">
        <v>102491</v>
      </c>
      <c r="E517" s="52">
        <v>3036778600</v>
      </c>
      <c r="F517" s="43" t="s">
        <v>98</v>
      </c>
      <c r="G517" s="53">
        <v>123083</v>
      </c>
      <c r="H517" s="54" t="s">
        <v>70</v>
      </c>
      <c r="I517" s="54" t="s">
        <v>771</v>
      </c>
      <c r="J517" s="55" t="s">
        <v>153</v>
      </c>
      <c r="K517" s="54" t="s">
        <v>93</v>
      </c>
      <c r="L517" s="56">
        <f>36617+(6*364)</f>
        <v>38801</v>
      </c>
      <c r="M517" s="43">
        <f t="shared" ca="1" si="8"/>
        <v>19</v>
      </c>
    </row>
    <row r="518" spans="1:13" x14ac:dyDescent="0.3">
      <c r="A518" s="49" t="s">
        <v>778</v>
      </c>
      <c r="B518" s="49" t="s">
        <v>93</v>
      </c>
      <c r="C518" s="50">
        <v>69421</v>
      </c>
      <c r="D518" s="51">
        <v>114060</v>
      </c>
      <c r="E518" s="52">
        <v>5052693355</v>
      </c>
      <c r="F518" s="43" t="s">
        <v>91</v>
      </c>
      <c r="G518" s="53">
        <v>92913</v>
      </c>
      <c r="H518" s="54" t="s">
        <v>70</v>
      </c>
      <c r="I518" s="54" t="s">
        <v>118</v>
      </c>
      <c r="J518" s="55" t="s">
        <v>78</v>
      </c>
      <c r="K518" s="54" t="s">
        <v>106</v>
      </c>
      <c r="L518" s="56">
        <f>35905+(6*364)</f>
        <v>38089</v>
      </c>
      <c r="M518" s="43">
        <f t="shared" ca="1" si="8"/>
        <v>21</v>
      </c>
    </row>
    <row r="519" spans="1:13" x14ac:dyDescent="0.3">
      <c r="A519" s="49" t="s">
        <v>781</v>
      </c>
      <c r="B519" s="49" t="s">
        <v>93</v>
      </c>
      <c r="C519" s="50">
        <v>62219</v>
      </c>
      <c r="D519" s="51">
        <v>67766</v>
      </c>
      <c r="E519" s="52">
        <v>7195236892</v>
      </c>
      <c r="F519" s="43"/>
      <c r="G519" s="53">
        <v>76742</v>
      </c>
      <c r="H519" s="54" t="s">
        <v>86</v>
      </c>
      <c r="I519" s="54" t="s">
        <v>772</v>
      </c>
      <c r="J519" s="55" t="s">
        <v>78</v>
      </c>
      <c r="K519" s="54" t="s">
        <v>73</v>
      </c>
      <c r="L519" s="56">
        <f>36085+(6*364)</f>
        <v>38269</v>
      </c>
      <c r="M519" s="43">
        <f t="shared" ca="1" si="8"/>
        <v>21</v>
      </c>
    </row>
    <row r="520" spans="1:13" x14ac:dyDescent="0.3">
      <c r="A520" s="49" t="s">
        <v>782</v>
      </c>
      <c r="B520" s="49" t="s">
        <v>93</v>
      </c>
      <c r="C520" s="50">
        <v>35452</v>
      </c>
      <c r="D520" s="51">
        <v>71594</v>
      </c>
      <c r="E520" s="52">
        <v>3031641031</v>
      </c>
      <c r="F520" s="43" t="s">
        <v>91</v>
      </c>
      <c r="G520" s="53">
        <v>114976</v>
      </c>
      <c r="H520" s="54" t="s">
        <v>70</v>
      </c>
      <c r="I520" s="54" t="s">
        <v>773</v>
      </c>
      <c r="J520" s="55" t="s">
        <v>78</v>
      </c>
      <c r="K520" s="54" t="s">
        <v>103</v>
      </c>
      <c r="L520" s="56">
        <f>35544+(6*364)</f>
        <v>37728</v>
      </c>
      <c r="M520" s="43">
        <f t="shared" ca="1" si="8"/>
        <v>22</v>
      </c>
    </row>
    <row r="521" spans="1:13" x14ac:dyDescent="0.3">
      <c r="A521" s="49" t="s">
        <v>783</v>
      </c>
      <c r="B521" s="49" t="s">
        <v>93</v>
      </c>
      <c r="C521" s="50">
        <v>32894</v>
      </c>
      <c r="D521" s="51">
        <v>72926</v>
      </c>
      <c r="E521" s="52">
        <v>9702601200</v>
      </c>
      <c r="F521" s="43" t="s">
        <v>91</v>
      </c>
      <c r="G521" s="53">
        <v>78384</v>
      </c>
      <c r="H521" s="54" t="s">
        <v>70</v>
      </c>
      <c r="I521" s="54" t="s">
        <v>774</v>
      </c>
      <c r="J521" s="55" t="s">
        <v>78</v>
      </c>
      <c r="K521" s="54" t="s">
        <v>89</v>
      </c>
      <c r="L521" s="56">
        <f>38368+(6*364)</f>
        <v>40552</v>
      </c>
      <c r="M521" s="43">
        <f t="shared" ca="1" si="8"/>
        <v>14</v>
      </c>
    </row>
    <row r="522" spans="1:13" x14ac:dyDescent="0.3">
      <c r="A522" s="49" t="s">
        <v>784</v>
      </c>
      <c r="B522" s="49" t="s">
        <v>93</v>
      </c>
      <c r="C522" s="50">
        <v>89348</v>
      </c>
      <c r="D522" s="51">
        <v>100219</v>
      </c>
      <c r="E522" s="52">
        <v>4152804104</v>
      </c>
      <c r="F522" s="43" t="s">
        <v>75</v>
      </c>
      <c r="G522" s="53">
        <v>73742</v>
      </c>
      <c r="H522" s="54" t="s">
        <v>70</v>
      </c>
      <c r="I522" s="54" t="s">
        <v>775</v>
      </c>
      <c r="J522" s="55" t="s">
        <v>100</v>
      </c>
      <c r="K522" s="54" t="s">
        <v>73</v>
      </c>
      <c r="L522" s="56">
        <f>37913+(6*364)</f>
        <v>40097</v>
      </c>
      <c r="M522" s="43">
        <f t="shared" ca="1" si="8"/>
        <v>16</v>
      </c>
    </row>
    <row r="523" spans="1:13" x14ac:dyDescent="0.3">
      <c r="A523" s="49" t="s">
        <v>785</v>
      </c>
      <c r="B523" s="49" t="s">
        <v>93</v>
      </c>
      <c r="C523" s="50">
        <v>71017</v>
      </c>
      <c r="D523" s="51">
        <v>55770</v>
      </c>
      <c r="E523" s="52">
        <v>9707051004</v>
      </c>
      <c r="F523" s="43"/>
      <c r="G523" s="53">
        <v>37396</v>
      </c>
      <c r="H523" s="54" t="s">
        <v>86</v>
      </c>
      <c r="I523" s="54" t="s">
        <v>623</v>
      </c>
      <c r="J523" s="55" t="s">
        <v>72</v>
      </c>
      <c r="K523" s="54" t="s">
        <v>84</v>
      </c>
      <c r="L523" s="56">
        <f>38040+(6*364)</f>
        <v>40224</v>
      </c>
      <c r="M523" s="43">
        <f t="shared" ca="1" si="8"/>
        <v>15</v>
      </c>
    </row>
    <row r="524" spans="1:13" x14ac:dyDescent="0.3">
      <c r="A524" s="49" t="s">
        <v>786</v>
      </c>
      <c r="B524" s="49" t="s">
        <v>93</v>
      </c>
      <c r="C524" s="50">
        <v>80526</v>
      </c>
      <c r="D524" s="51">
        <v>85478</v>
      </c>
      <c r="E524" s="52">
        <v>5055478716</v>
      </c>
      <c r="F524" s="43" t="s">
        <v>81</v>
      </c>
      <c r="G524" s="53">
        <v>83731</v>
      </c>
      <c r="H524" s="54" t="s">
        <v>76</v>
      </c>
      <c r="I524" s="54" t="s">
        <v>776</v>
      </c>
      <c r="J524" s="55" t="s">
        <v>72</v>
      </c>
      <c r="K524" s="54" t="s">
        <v>73</v>
      </c>
      <c r="L524" s="56">
        <f>37110+(6*364)</f>
        <v>39294</v>
      </c>
      <c r="M524" s="43">
        <f t="shared" ca="1" si="8"/>
        <v>18</v>
      </c>
    </row>
    <row r="525" spans="1:13" x14ac:dyDescent="0.3">
      <c r="A525" s="49" t="s">
        <v>787</v>
      </c>
      <c r="B525" s="49" t="s">
        <v>93</v>
      </c>
      <c r="C525" s="50">
        <v>50834</v>
      </c>
      <c r="D525" s="51">
        <v>56763</v>
      </c>
      <c r="E525" s="52">
        <v>7195048978</v>
      </c>
      <c r="F525" s="43" t="s">
        <v>98</v>
      </c>
      <c r="G525" s="53">
        <v>88178</v>
      </c>
      <c r="H525" s="54" t="s">
        <v>70</v>
      </c>
      <c r="I525" s="54" t="s">
        <v>548</v>
      </c>
      <c r="J525" s="55" t="s">
        <v>78</v>
      </c>
      <c r="K525" s="54" t="s">
        <v>106</v>
      </c>
      <c r="L525" s="56">
        <f>38394+(6*364)</f>
        <v>40578</v>
      </c>
      <c r="M525" s="43">
        <f t="shared" ca="1" si="8"/>
        <v>14</v>
      </c>
    </row>
    <row r="526" spans="1:13" x14ac:dyDescent="0.3">
      <c r="A526" s="49" t="s">
        <v>788</v>
      </c>
      <c r="B526" s="49" t="s">
        <v>93</v>
      </c>
      <c r="C526" s="50">
        <v>50972</v>
      </c>
      <c r="D526" s="51">
        <v>77488</v>
      </c>
      <c r="E526" s="52">
        <v>3038591986</v>
      </c>
      <c r="F526" s="43"/>
      <c r="G526" s="53">
        <v>44831</v>
      </c>
      <c r="H526" s="54" t="s">
        <v>86</v>
      </c>
      <c r="I526" s="54" t="s">
        <v>549</v>
      </c>
      <c r="J526" s="55" t="s">
        <v>72</v>
      </c>
      <c r="K526" s="54" t="s">
        <v>89</v>
      </c>
      <c r="L526" s="56">
        <f>40745+(6*364)</f>
        <v>42929</v>
      </c>
      <c r="M526" s="43">
        <f t="shared" ca="1" si="8"/>
        <v>8</v>
      </c>
    </row>
    <row r="527" spans="1:13" x14ac:dyDescent="0.3">
      <c r="A527" s="49" t="s">
        <v>789</v>
      </c>
      <c r="B527" s="49" t="s">
        <v>93</v>
      </c>
      <c r="C527" s="50">
        <v>85696</v>
      </c>
      <c r="D527" s="51">
        <v>27434</v>
      </c>
      <c r="E527" s="52">
        <v>9703922813</v>
      </c>
      <c r="F527" s="43" t="s">
        <v>91</v>
      </c>
      <c r="G527" s="53">
        <v>44828</v>
      </c>
      <c r="H527" s="54" t="s">
        <v>70</v>
      </c>
      <c r="I527" s="54" t="s">
        <v>777</v>
      </c>
      <c r="J527" s="55" t="s">
        <v>88</v>
      </c>
      <c r="K527" s="54" t="s">
        <v>93</v>
      </c>
      <c r="L527" s="56">
        <f>38304+(6*364)</f>
        <v>40488</v>
      </c>
      <c r="M527" s="43">
        <f t="shared" ca="1" si="8"/>
        <v>15</v>
      </c>
    </row>
    <row r="528" spans="1:13" x14ac:dyDescent="0.3">
      <c r="A528" s="49" t="s">
        <v>790</v>
      </c>
      <c r="B528" s="49" t="s">
        <v>93</v>
      </c>
      <c r="C528" s="50">
        <v>39390</v>
      </c>
      <c r="D528" s="51">
        <v>64172</v>
      </c>
      <c r="E528" s="52">
        <v>9708085402</v>
      </c>
      <c r="F528" s="43" t="s">
        <v>75</v>
      </c>
      <c r="G528" s="53">
        <v>36336</v>
      </c>
      <c r="H528" s="54" t="s">
        <v>76</v>
      </c>
      <c r="I528" s="54" t="s">
        <v>727</v>
      </c>
      <c r="J528" s="55" t="s">
        <v>83</v>
      </c>
      <c r="K528" s="54" t="s">
        <v>103</v>
      </c>
      <c r="L528" s="56">
        <f>36664+(6*364)</f>
        <v>38848</v>
      </c>
      <c r="M528" s="43">
        <f t="shared" ca="1" si="8"/>
        <v>19</v>
      </c>
    </row>
    <row r="529" spans="1:13" x14ac:dyDescent="0.3">
      <c r="A529" s="49" t="s">
        <v>791</v>
      </c>
      <c r="B529" s="49" t="s">
        <v>93</v>
      </c>
      <c r="C529" s="50">
        <v>28214</v>
      </c>
      <c r="D529" s="51">
        <v>90557</v>
      </c>
      <c r="E529" s="52">
        <v>9706101454</v>
      </c>
      <c r="F529" s="43"/>
      <c r="G529" s="53">
        <v>58362</v>
      </c>
      <c r="H529" s="54" t="s">
        <v>86</v>
      </c>
      <c r="I529" s="54" t="s">
        <v>660</v>
      </c>
      <c r="J529" s="55" t="s">
        <v>72</v>
      </c>
      <c r="K529" s="54" t="s">
        <v>159</v>
      </c>
      <c r="L529" s="56">
        <f>35637+(6*364)</f>
        <v>37821</v>
      </c>
      <c r="M529" s="43">
        <f t="shared" ca="1" si="8"/>
        <v>22</v>
      </c>
    </row>
    <row r="530" spans="1:13" x14ac:dyDescent="0.3">
      <c r="A530" s="49" t="s">
        <v>793</v>
      </c>
      <c r="B530" s="49" t="s">
        <v>93</v>
      </c>
      <c r="C530" s="50">
        <v>78378</v>
      </c>
      <c r="D530" s="51">
        <v>78441</v>
      </c>
      <c r="E530" s="52">
        <v>5051971988</v>
      </c>
      <c r="F530" s="43"/>
      <c r="G530" s="53">
        <v>106812</v>
      </c>
      <c r="H530" s="54" t="s">
        <v>108</v>
      </c>
      <c r="I530" s="54" t="s">
        <v>550</v>
      </c>
      <c r="J530" s="55" t="s">
        <v>72</v>
      </c>
      <c r="K530" s="54" t="s">
        <v>89</v>
      </c>
      <c r="L530" s="56">
        <f>42127+(6*364)</f>
        <v>44311</v>
      </c>
      <c r="M530" s="43">
        <f t="shared" ca="1" si="8"/>
        <v>4</v>
      </c>
    </row>
    <row r="531" spans="1:13" x14ac:dyDescent="0.3">
      <c r="A531" s="49" t="s">
        <v>794</v>
      </c>
      <c r="B531" s="49" t="s">
        <v>93</v>
      </c>
      <c r="C531" s="50">
        <v>37757</v>
      </c>
      <c r="D531" s="51">
        <v>92696</v>
      </c>
      <c r="E531" s="52">
        <v>9707662359</v>
      </c>
      <c r="F531" s="43"/>
      <c r="G531" s="53">
        <v>93377</v>
      </c>
      <c r="H531" s="54" t="s">
        <v>108</v>
      </c>
      <c r="I531" s="54" t="s">
        <v>252</v>
      </c>
      <c r="J531" s="55" t="s">
        <v>72</v>
      </c>
      <c r="K531" s="54" t="s">
        <v>79</v>
      </c>
      <c r="L531" s="56">
        <f>40252+(6*364)</f>
        <v>42436</v>
      </c>
      <c r="M531" s="43">
        <f t="shared" ca="1" si="8"/>
        <v>9</v>
      </c>
    </row>
    <row r="532" spans="1:13" x14ac:dyDescent="0.3">
      <c r="A532" s="49" t="s">
        <v>795</v>
      </c>
      <c r="B532" s="49" t="s">
        <v>93</v>
      </c>
      <c r="C532" s="50">
        <v>51323</v>
      </c>
      <c r="D532" s="51">
        <v>98599</v>
      </c>
      <c r="E532" s="52">
        <v>5051264786</v>
      </c>
      <c r="F532" s="43"/>
      <c r="G532" s="53">
        <v>58304</v>
      </c>
      <c r="H532" s="54" t="s">
        <v>86</v>
      </c>
      <c r="I532" s="54" t="s">
        <v>691</v>
      </c>
      <c r="J532" s="55" t="s">
        <v>100</v>
      </c>
      <c r="K532" s="54" t="s">
        <v>84</v>
      </c>
      <c r="L532" s="56">
        <f>40420+(6*364)</f>
        <v>42604</v>
      </c>
      <c r="M532" s="43">
        <f t="shared" ca="1" si="8"/>
        <v>9</v>
      </c>
    </row>
    <row r="533" spans="1:13" x14ac:dyDescent="0.3">
      <c r="A533" s="49" t="s">
        <v>796</v>
      </c>
      <c r="B533" s="49" t="s">
        <v>93</v>
      </c>
      <c r="C533" s="50">
        <v>71949</v>
      </c>
      <c r="D533" s="51">
        <v>132498</v>
      </c>
      <c r="E533" s="52">
        <v>7194532398</v>
      </c>
      <c r="F533" s="43" t="s">
        <v>98</v>
      </c>
      <c r="G533" s="53">
        <v>43677</v>
      </c>
      <c r="H533" s="54" t="s">
        <v>70</v>
      </c>
      <c r="I533" s="54" t="s">
        <v>778</v>
      </c>
      <c r="J533" s="55" t="s">
        <v>72</v>
      </c>
      <c r="K533" s="54" t="s">
        <v>128</v>
      </c>
      <c r="L533" s="56">
        <f>36738+(6*364)</f>
        <v>38922</v>
      </c>
      <c r="M533" s="43">
        <f t="shared" ca="1" si="8"/>
        <v>19</v>
      </c>
    </row>
    <row r="534" spans="1:13" x14ac:dyDescent="0.3">
      <c r="A534" s="49" t="s">
        <v>117</v>
      </c>
      <c r="B534" s="49" t="s">
        <v>172</v>
      </c>
      <c r="C534" s="50">
        <v>12518</v>
      </c>
      <c r="D534" s="51">
        <v>85055</v>
      </c>
      <c r="E534" s="52">
        <v>5055555817</v>
      </c>
      <c r="F534" s="43" t="s">
        <v>98</v>
      </c>
      <c r="G534" s="53">
        <v>127924</v>
      </c>
      <c r="H534" s="54" t="s">
        <v>70</v>
      </c>
      <c r="I534" s="54" t="s">
        <v>551</v>
      </c>
      <c r="J534" s="55" t="s">
        <v>78</v>
      </c>
      <c r="K534" s="54" t="s">
        <v>89</v>
      </c>
      <c r="L534" s="56">
        <f>37638+(6*364)</f>
        <v>39822</v>
      </c>
      <c r="M534" s="43">
        <f t="shared" ca="1" si="8"/>
        <v>16</v>
      </c>
    </row>
    <row r="535" spans="1:13" x14ac:dyDescent="0.3">
      <c r="A535" s="49" t="s">
        <v>125</v>
      </c>
      <c r="B535" s="49" t="s">
        <v>172</v>
      </c>
      <c r="C535" s="50">
        <v>93116</v>
      </c>
      <c r="D535" s="51">
        <v>68164</v>
      </c>
      <c r="E535" s="52">
        <v>9706252690</v>
      </c>
      <c r="F535" s="43" t="s">
        <v>98</v>
      </c>
      <c r="G535" s="53">
        <v>36348</v>
      </c>
      <c r="H535" s="54" t="s">
        <v>70</v>
      </c>
      <c r="I535" s="54" t="s">
        <v>554</v>
      </c>
      <c r="J535" s="55" t="s">
        <v>78</v>
      </c>
      <c r="K535" s="54" t="s">
        <v>89</v>
      </c>
      <c r="L535" s="56">
        <f>41462+(6*364)</f>
        <v>43646</v>
      </c>
      <c r="M535" s="43">
        <f t="shared" ca="1" si="8"/>
        <v>6</v>
      </c>
    </row>
    <row r="536" spans="1:13" x14ac:dyDescent="0.3">
      <c r="A536" s="49" t="s">
        <v>130</v>
      </c>
      <c r="B536" s="49" t="s">
        <v>172</v>
      </c>
      <c r="C536" s="50">
        <v>82747</v>
      </c>
      <c r="D536" s="51">
        <v>55879</v>
      </c>
      <c r="E536" s="52">
        <v>9704605984</v>
      </c>
      <c r="F536" s="43" t="s">
        <v>91</v>
      </c>
      <c r="G536" s="53">
        <v>41129</v>
      </c>
      <c r="H536" s="54" t="s">
        <v>70</v>
      </c>
      <c r="I536" s="54" t="s">
        <v>336</v>
      </c>
      <c r="J536" s="55" t="s">
        <v>153</v>
      </c>
      <c r="K536" s="54" t="s">
        <v>95</v>
      </c>
      <c r="L536" s="56">
        <f>35406+(6*364)</f>
        <v>37590</v>
      </c>
      <c r="M536" s="43">
        <f t="shared" ca="1" si="8"/>
        <v>23</v>
      </c>
    </row>
    <row r="537" spans="1:13" x14ac:dyDescent="0.3">
      <c r="A537" s="49" t="s">
        <v>155</v>
      </c>
      <c r="B537" s="49" t="s">
        <v>172</v>
      </c>
      <c r="C537" s="50">
        <v>98897</v>
      </c>
      <c r="D537" s="51">
        <v>136792</v>
      </c>
      <c r="E537" s="52">
        <v>3037687161</v>
      </c>
      <c r="F537" s="43" t="s">
        <v>98</v>
      </c>
      <c r="G537" s="53">
        <v>123223</v>
      </c>
      <c r="H537" s="54" t="s">
        <v>70</v>
      </c>
      <c r="I537" s="54" t="s">
        <v>729</v>
      </c>
      <c r="J537" s="55" t="s">
        <v>88</v>
      </c>
      <c r="K537" s="54" t="s">
        <v>106</v>
      </c>
      <c r="L537" s="56">
        <f>37429+(6*364)</f>
        <v>39613</v>
      </c>
      <c r="M537" s="43">
        <f t="shared" ca="1" si="8"/>
        <v>17</v>
      </c>
    </row>
    <row r="538" spans="1:13" x14ac:dyDescent="0.3">
      <c r="A538" s="49" t="s">
        <v>177</v>
      </c>
      <c r="B538" s="49" t="s">
        <v>172</v>
      </c>
      <c r="C538" s="50">
        <v>79852</v>
      </c>
      <c r="D538" s="51">
        <v>74505</v>
      </c>
      <c r="E538" s="52">
        <v>3037345539</v>
      </c>
      <c r="F538" s="43"/>
      <c r="G538" s="53">
        <v>79586</v>
      </c>
      <c r="H538" s="54" t="s">
        <v>86</v>
      </c>
      <c r="I538" s="54" t="s">
        <v>556</v>
      </c>
      <c r="J538" s="55" t="s">
        <v>88</v>
      </c>
      <c r="K538" s="54" t="s">
        <v>103</v>
      </c>
      <c r="L538" s="56">
        <f>37893+(6*364)</f>
        <v>40077</v>
      </c>
      <c r="M538" s="43">
        <f t="shared" ca="1" si="8"/>
        <v>16</v>
      </c>
    </row>
    <row r="539" spans="1:13" x14ac:dyDescent="0.3">
      <c r="A539" s="49" t="s">
        <v>192</v>
      </c>
      <c r="B539" s="49" t="s">
        <v>172</v>
      </c>
      <c r="C539" s="50">
        <v>12747</v>
      </c>
      <c r="D539" s="51">
        <v>105459</v>
      </c>
      <c r="E539" s="52">
        <v>9708912054</v>
      </c>
      <c r="F539" s="43"/>
      <c r="G539" s="53">
        <v>86483</v>
      </c>
      <c r="H539" s="54" t="s">
        <v>86</v>
      </c>
      <c r="I539" s="54" t="s">
        <v>389</v>
      </c>
      <c r="J539" s="55" t="s">
        <v>72</v>
      </c>
      <c r="K539" s="54" t="s">
        <v>106</v>
      </c>
      <c r="L539" s="56">
        <f>41883+(6*364)</f>
        <v>44067</v>
      </c>
      <c r="M539" s="43">
        <f t="shared" ca="1" si="8"/>
        <v>5</v>
      </c>
    </row>
    <row r="540" spans="1:13" x14ac:dyDescent="0.3">
      <c r="A540" s="49" t="s">
        <v>206</v>
      </c>
      <c r="B540" s="49" t="s">
        <v>172</v>
      </c>
      <c r="C540" s="50">
        <v>88143</v>
      </c>
      <c r="D540" s="51">
        <v>98371</v>
      </c>
      <c r="E540" s="52">
        <v>9703204992</v>
      </c>
      <c r="F540" s="43"/>
      <c r="G540" s="53">
        <v>56880</v>
      </c>
      <c r="H540" s="54" t="s">
        <v>86</v>
      </c>
      <c r="I540" s="54" t="s">
        <v>779</v>
      </c>
      <c r="J540" s="55" t="s">
        <v>100</v>
      </c>
      <c r="K540" s="54" t="s">
        <v>280</v>
      </c>
      <c r="L540" s="56">
        <f>42308+(6*364)</f>
        <v>44492</v>
      </c>
      <c r="M540" s="43">
        <f t="shared" ca="1" si="8"/>
        <v>4</v>
      </c>
    </row>
    <row r="541" spans="1:13" x14ac:dyDescent="0.3">
      <c r="A541" s="49" t="s">
        <v>208</v>
      </c>
      <c r="B541" s="49" t="s">
        <v>172</v>
      </c>
      <c r="C541" s="50">
        <v>49154</v>
      </c>
      <c r="D541" s="51">
        <v>86410</v>
      </c>
      <c r="E541" s="52">
        <v>7197077326</v>
      </c>
      <c r="F541" s="43" t="s">
        <v>75</v>
      </c>
      <c r="G541" s="53">
        <v>59813</v>
      </c>
      <c r="H541" s="54" t="s">
        <v>70</v>
      </c>
      <c r="I541" s="54" t="s">
        <v>731</v>
      </c>
      <c r="J541" s="55" t="s">
        <v>88</v>
      </c>
      <c r="K541" s="54" t="s">
        <v>73</v>
      </c>
      <c r="L541" s="56">
        <f>41817+(6*364)</f>
        <v>44001</v>
      </c>
      <c r="M541" s="43">
        <f t="shared" ca="1" si="8"/>
        <v>5</v>
      </c>
    </row>
    <row r="542" spans="1:13" x14ac:dyDescent="0.3">
      <c r="A542" s="49" t="s">
        <v>219</v>
      </c>
      <c r="B542" s="49" t="s">
        <v>172</v>
      </c>
      <c r="C542" s="50">
        <v>61298</v>
      </c>
      <c r="D542" s="51">
        <v>102041</v>
      </c>
      <c r="E542" s="52">
        <v>5052783818</v>
      </c>
      <c r="F542" s="43" t="s">
        <v>98</v>
      </c>
      <c r="G542" s="53">
        <v>70968</v>
      </c>
      <c r="H542" s="54" t="s">
        <v>70</v>
      </c>
      <c r="I542" s="54" t="s">
        <v>558</v>
      </c>
      <c r="J542" s="55" t="s">
        <v>78</v>
      </c>
      <c r="K542" s="54" t="s">
        <v>93</v>
      </c>
      <c r="L542" s="56">
        <f>37870+(6*364)</f>
        <v>40054</v>
      </c>
      <c r="M542" s="43">
        <f t="shared" ca="1" si="8"/>
        <v>16</v>
      </c>
    </row>
    <row r="543" spans="1:13" x14ac:dyDescent="0.3">
      <c r="A543" s="49" t="s">
        <v>244</v>
      </c>
      <c r="B543" s="49" t="s">
        <v>172</v>
      </c>
      <c r="C543" s="50">
        <v>53586</v>
      </c>
      <c r="D543" s="51">
        <v>106259</v>
      </c>
      <c r="E543" s="52">
        <v>7195725646</v>
      </c>
      <c r="F543" s="43" t="s">
        <v>91</v>
      </c>
      <c r="G543" s="53">
        <v>35577</v>
      </c>
      <c r="H543" s="54" t="s">
        <v>76</v>
      </c>
      <c r="I543" s="54" t="s">
        <v>559</v>
      </c>
      <c r="J543" s="55" t="s">
        <v>153</v>
      </c>
      <c r="K543" s="54" t="s">
        <v>73</v>
      </c>
      <c r="L543" s="56">
        <f>38338+(6*364)</f>
        <v>40522</v>
      </c>
      <c r="M543" s="43">
        <f t="shared" ca="1" si="8"/>
        <v>15</v>
      </c>
    </row>
    <row r="544" spans="1:13" x14ac:dyDescent="0.3">
      <c r="A544" s="49" t="s">
        <v>263</v>
      </c>
      <c r="B544" s="49" t="s">
        <v>172</v>
      </c>
      <c r="C544" s="50">
        <v>46606</v>
      </c>
      <c r="D544" s="51">
        <v>132120</v>
      </c>
      <c r="E544" s="52">
        <v>3032232339</v>
      </c>
      <c r="F544" s="43" t="s">
        <v>98</v>
      </c>
      <c r="G544" s="53">
        <v>71391</v>
      </c>
      <c r="H544" s="54" t="s">
        <v>70</v>
      </c>
      <c r="I544" s="54" t="s">
        <v>120</v>
      </c>
      <c r="J544" s="55" t="s">
        <v>72</v>
      </c>
      <c r="K544" s="54" t="s">
        <v>93</v>
      </c>
      <c r="L544" s="56">
        <f>37540+(6*364)</f>
        <v>39724</v>
      </c>
      <c r="M544" s="43">
        <f t="shared" ca="1" si="8"/>
        <v>17</v>
      </c>
    </row>
    <row r="545" spans="1:13" x14ac:dyDescent="0.3">
      <c r="A545" s="49" t="s">
        <v>294</v>
      </c>
      <c r="B545" s="49" t="s">
        <v>172</v>
      </c>
      <c r="C545" s="50">
        <v>90096</v>
      </c>
      <c r="D545" s="51">
        <v>58162</v>
      </c>
      <c r="E545" s="52">
        <v>7193613417</v>
      </c>
      <c r="F545" s="43" t="s">
        <v>98</v>
      </c>
      <c r="G545" s="53">
        <v>43788</v>
      </c>
      <c r="H545" s="54" t="s">
        <v>70</v>
      </c>
      <c r="I545" s="54" t="s">
        <v>254</v>
      </c>
      <c r="J545" s="55" t="s">
        <v>153</v>
      </c>
      <c r="K545" s="54" t="s">
        <v>89</v>
      </c>
      <c r="L545" s="56">
        <f>38337+(6*364)</f>
        <v>40521</v>
      </c>
      <c r="M545" s="43">
        <f t="shared" ca="1" si="8"/>
        <v>15</v>
      </c>
    </row>
    <row r="546" spans="1:13" x14ac:dyDescent="0.3">
      <c r="A546" s="49" t="s">
        <v>304</v>
      </c>
      <c r="B546" s="49" t="s">
        <v>172</v>
      </c>
      <c r="C546" s="50">
        <v>78556</v>
      </c>
      <c r="D546" s="51">
        <v>87661</v>
      </c>
      <c r="E546" s="52">
        <v>7194907564</v>
      </c>
      <c r="F546" s="43" t="s">
        <v>91</v>
      </c>
      <c r="G546" s="53">
        <v>126433</v>
      </c>
      <c r="H546" s="54" t="s">
        <v>70</v>
      </c>
      <c r="I546" s="54" t="s">
        <v>662</v>
      </c>
      <c r="J546" s="55" t="s">
        <v>88</v>
      </c>
      <c r="K546" s="54" t="s">
        <v>79</v>
      </c>
      <c r="L546" s="56">
        <f>35901+(6*364)</f>
        <v>38085</v>
      </c>
      <c r="M546" s="43">
        <f t="shared" ca="1" si="8"/>
        <v>21</v>
      </c>
    </row>
    <row r="547" spans="1:13" x14ac:dyDescent="0.3">
      <c r="A547" s="49" t="s">
        <v>803</v>
      </c>
      <c r="B547" s="49" t="s">
        <v>172</v>
      </c>
      <c r="C547" s="50">
        <v>37157</v>
      </c>
      <c r="D547" s="51">
        <v>85594</v>
      </c>
      <c r="E547" s="52">
        <v>3034794769</v>
      </c>
      <c r="F547" s="43" t="s">
        <v>81</v>
      </c>
      <c r="G547" s="53">
        <v>100202</v>
      </c>
      <c r="H547" s="54" t="s">
        <v>70</v>
      </c>
      <c r="I547" s="54" t="s">
        <v>256</v>
      </c>
      <c r="J547" s="55" t="s">
        <v>88</v>
      </c>
      <c r="K547" s="54" t="s">
        <v>103</v>
      </c>
      <c r="L547" s="56">
        <f>38253+(6*364)</f>
        <v>40437</v>
      </c>
      <c r="M547" s="43">
        <f t="shared" ca="1" si="8"/>
        <v>15</v>
      </c>
    </row>
    <row r="548" spans="1:13" x14ac:dyDescent="0.3">
      <c r="A548" s="49" t="s">
        <v>313</v>
      </c>
      <c r="B548" s="49" t="s">
        <v>172</v>
      </c>
      <c r="C548" s="50">
        <v>45856</v>
      </c>
      <c r="D548" s="51">
        <v>72263</v>
      </c>
      <c r="E548" s="52">
        <v>7196396432</v>
      </c>
      <c r="F548" s="43" t="s">
        <v>98</v>
      </c>
      <c r="G548" s="53">
        <v>55373</v>
      </c>
      <c r="H548" s="54" t="s">
        <v>70</v>
      </c>
      <c r="I548" s="54" t="s">
        <v>293</v>
      </c>
      <c r="J548" s="55" t="s">
        <v>88</v>
      </c>
      <c r="K548" s="54" t="s">
        <v>89</v>
      </c>
      <c r="L548" s="56">
        <f>38193+(6*364)</f>
        <v>40377</v>
      </c>
      <c r="M548" s="43">
        <f t="shared" ca="1" si="8"/>
        <v>15</v>
      </c>
    </row>
    <row r="549" spans="1:13" x14ac:dyDescent="0.3">
      <c r="A549" s="49" t="s">
        <v>316</v>
      </c>
      <c r="B549" s="49" t="s">
        <v>172</v>
      </c>
      <c r="C549" s="50">
        <v>71671</v>
      </c>
      <c r="D549" s="51">
        <v>103863</v>
      </c>
      <c r="E549" s="52">
        <v>7196479087</v>
      </c>
      <c r="F549" s="43" t="s">
        <v>98</v>
      </c>
      <c r="G549" s="53">
        <v>35968</v>
      </c>
      <c r="H549" s="54" t="s">
        <v>70</v>
      </c>
      <c r="I549" s="54" t="s">
        <v>561</v>
      </c>
      <c r="J549" s="55" t="s">
        <v>100</v>
      </c>
      <c r="K549" s="54" t="s">
        <v>103</v>
      </c>
      <c r="L549" s="56">
        <f>41223+(6*364)</f>
        <v>43407</v>
      </c>
      <c r="M549" s="43">
        <f t="shared" ca="1" si="8"/>
        <v>7</v>
      </c>
    </row>
    <row r="550" spans="1:13" x14ac:dyDescent="0.3">
      <c r="A550" s="49" t="s">
        <v>327</v>
      </c>
      <c r="B550" s="49" t="s">
        <v>172</v>
      </c>
      <c r="C550" s="50">
        <v>61200</v>
      </c>
      <c r="D550" s="51">
        <v>85492</v>
      </c>
      <c r="E550" s="52">
        <v>9705197037</v>
      </c>
      <c r="F550" s="43"/>
      <c r="G550" s="53">
        <v>52022</v>
      </c>
      <c r="H550" s="54" t="s">
        <v>86</v>
      </c>
      <c r="I550" s="54" t="s">
        <v>732</v>
      </c>
      <c r="J550" s="55" t="s">
        <v>88</v>
      </c>
      <c r="K550" s="54" t="s">
        <v>93</v>
      </c>
      <c r="L550" s="56">
        <f>35450+(6*364)</f>
        <v>37634</v>
      </c>
      <c r="M550" s="43">
        <f t="shared" ca="1" si="8"/>
        <v>22</v>
      </c>
    </row>
    <row r="551" spans="1:13" x14ac:dyDescent="0.3">
      <c r="A551" s="49" t="s">
        <v>405</v>
      </c>
      <c r="B551" s="49" t="s">
        <v>172</v>
      </c>
      <c r="C551" s="50">
        <v>66204</v>
      </c>
      <c r="D551" s="51">
        <v>59466</v>
      </c>
      <c r="E551" s="52">
        <v>9706753698</v>
      </c>
      <c r="F551" s="43" t="s">
        <v>98</v>
      </c>
      <c r="G551" s="53">
        <v>41345</v>
      </c>
      <c r="H551" s="54" t="s">
        <v>70</v>
      </c>
      <c r="I551" s="54" t="s">
        <v>663</v>
      </c>
      <c r="J551" s="55" t="s">
        <v>88</v>
      </c>
      <c r="K551" s="54" t="s">
        <v>106</v>
      </c>
      <c r="L551" s="56">
        <f>37826+(6*364)</f>
        <v>40010</v>
      </c>
      <c r="M551" s="43">
        <f t="shared" ca="1" si="8"/>
        <v>16</v>
      </c>
    </row>
    <row r="552" spans="1:13" x14ac:dyDescent="0.3">
      <c r="A552" s="49" t="s">
        <v>421</v>
      </c>
      <c r="B552" s="49" t="s">
        <v>172</v>
      </c>
      <c r="C552" s="50">
        <v>55067</v>
      </c>
      <c r="D552" s="51">
        <v>77182</v>
      </c>
      <c r="E552" s="52">
        <v>9704272773</v>
      </c>
      <c r="F552" s="43" t="s">
        <v>75</v>
      </c>
      <c r="G552" s="53">
        <v>74100</v>
      </c>
      <c r="H552" s="54" t="s">
        <v>76</v>
      </c>
      <c r="I552" s="54" t="s">
        <v>665</v>
      </c>
      <c r="J552" s="55" t="s">
        <v>72</v>
      </c>
      <c r="K552" s="54" t="s">
        <v>79</v>
      </c>
      <c r="L552" s="56">
        <f>37750+(6*364)</f>
        <v>39934</v>
      </c>
      <c r="M552" s="43">
        <f t="shared" ca="1" si="8"/>
        <v>16</v>
      </c>
    </row>
    <row r="553" spans="1:13" x14ac:dyDescent="0.3">
      <c r="A553" s="49" t="s">
        <v>425</v>
      </c>
      <c r="B553" s="49" t="s">
        <v>172</v>
      </c>
      <c r="C553" s="50">
        <v>37822</v>
      </c>
      <c r="D553" s="51">
        <v>81960</v>
      </c>
      <c r="E553" s="52">
        <v>5053744359</v>
      </c>
      <c r="F553" s="43" t="s">
        <v>75</v>
      </c>
      <c r="G553" s="53">
        <v>127134</v>
      </c>
      <c r="H553" s="54" t="s">
        <v>76</v>
      </c>
      <c r="I553" s="54" t="s">
        <v>563</v>
      </c>
      <c r="J553" s="55" t="s">
        <v>78</v>
      </c>
      <c r="K553" s="54" t="s">
        <v>19</v>
      </c>
      <c r="L553" s="56">
        <f>35214+(6*364)</f>
        <v>37398</v>
      </c>
      <c r="M553" s="43">
        <f t="shared" ca="1" si="8"/>
        <v>23</v>
      </c>
    </row>
    <row r="554" spans="1:13" x14ac:dyDescent="0.3">
      <c r="A554" s="49" t="s">
        <v>433</v>
      </c>
      <c r="B554" s="49" t="s">
        <v>172</v>
      </c>
      <c r="C554" s="50">
        <v>64515</v>
      </c>
      <c r="D554" s="51">
        <v>63372</v>
      </c>
      <c r="E554" s="52">
        <v>3033825834</v>
      </c>
      <c r="F554" s="43"/>
      <c r="G554" s="53">
        <v>67096</v>
      </c>
      <c r="H554" s="54" t="s">
        <v>86</v>
      </c>
      <c r="I554" s="54" t="s">
        <v>122</v>
      </c>
      <c r="J554" s="55" t="s">
        <v>153</v>
      </c>
      <c r="K554" s="54" t="s">
        <v>73</v>
      </c>
      <c r="L554" s="56">
        <f>35003+(6*364)</f>
        <v>37187</v>
      </c>
      <c r="M554" s="43">
        <f t="shared" ca="1" si="8"/>
        <v>24</v>
      </c>
    </row>
    <row r="555" spans="1:13" x14ac:dyDescent="0.3">
      <c r="A555" s="49" t="s">
        <v>458</v>
      </c>
      <c r="B555" s="49" t="s">
        <v>172</v>
      </c>
      <c r="C555" s="50">
        <v>23061</v>
      </c>
      <c r="D555" s="51">
        <v>126968</v>
      </c>
      <c r="E555" s="52">
        <v>5056733291</v>
      </c>
      <c r="F555" s="43"/>
      <c r="G555" s="53">
        <v>97644</v>
      </c>
      <c r="H555" s="54" t="s">
        <v>86</v>
      </c>
      <c r="I555" s="54" t="s">
        <v>781</v>
      </c>
      <c r="J555" s="55" t="s">
        <v>153</v>
      </c>
      <c r="K555" s="54" t="s">
        <v>89</v>
      </c>
      <c r="L555" s="56">
        <f>36089+(6*364)</f>
        <v>38273</v>
      </c>
      <c r="M555" s="43">
        <f t="shared" ca="1" si="8"/>
        <v>21</v>
      </c>
    </row>
    <row r="556" spans="1:13" x14ac:dyDescent="0.3">
      <c r="A556" s="49" t="s">
        <v>460</v>
      </c>
      <c r="B556" s="49" t="s">
        <v>172</v>
      </c>
      <c r="C556" s="50">
        <v>20143</v>
      </c>
      <c r="D556" s="51">
        <v>53373</v>
      </c>
      <c r="E556" s="52">
        <v>5051462245</v>
      </c>
      <c r="F556" s="43" t="s">
        <v>91</v>
      </c>
      <c r="G556" s="53">
        <v>52427</v>
      </c>
      <c r="H556" s="54" t="s">
        <v>76</v>
      </c>
      <c r="I556" s="54" t="s">
        <v>564</v>
      </c>
      <c r="J556" s="55" t="s">
        <v>72</v>
      </c>
      <c r="K556" s="54" t="s">
        <v>79</v>
      </c>
      <c r="L556" s="56">
        <f>41207+(6*364)</f>
        <v>43391</v>
      </c>
      <c r="M556" s="43">
        <f t="shared" ca="1" si="8"/>
        <v>7</v>
      </c>
    </row>
    <row r="557" spans="1:13" x14ac:dyDescent="0.3">
      <c r="A557" s="49" t="s">
        <v>809</v>
      </c>
      <c r="B557" s="49" t="s">
        <v>172</v>
      </c>
      <c r="C557" s="50">
        <v>87203</v>
      </c>
      <c r="D557" s="51">
        <v>98343</v>
      </c>
      <c r="E557" s="52">
        <v>7192636321</v>
      </c>
      <c r="F557" s="43" t="s">
        <v>69</v>
      </c>
      <c r="G557" s="53">
        <v>62437</v>
      </c>
      <c r="H557" s="54" t="s">
        <v>70</v>
      </c>
      <c r="I557" s="54" t="s">
        <v>565</v>
      </c>
      <c r="J557" s="55" t="s">
        <v>72</v>
      </c>
      <c r="K557" s="54" t="s">
        <v>172</v>
      </c>
      <c r="L557" s="56">
        <f>37493+(6*364)</f>
        <v>39677</v>
      </c>
      <c r="M557" s="43">
        <f t="shared" ca="1" si="8"/>
        <v>17</v>
      </c>
    </row>
    <row r="558" spans="1:13" x14ac:dyDescent="0.3">
      <c r="A558" s="49" t="s">
        <v>610</v>
      </c>
      <c r="B558" s="49" t="s">
        <v>172</v>
      </c>
      <c r="C558" s="50">
        <v>59773</v>
      </c>
      <c r="D558" s="51">
        <v>61581</v>
      </c>
      <c r="E558" s="52">
        <v>5058624601</v>
      </c>
      <c r="F558" s="43" t="s">
        <v>91</v>
      </c>
      <c r="G558" s="53">
        <v>127789</v>
      </c>
      <c r="H558" s="54" t="s">
        <v>76</v>
      </c>
      <c r="I558" s="54" t="s">
        <v>748</v>
      </c>
      <c r="J558" s="55" t="s">
        <v>88</v>
      </c>
      <c r="K558" s="54" t="s">
        <v>106</v>
      </c>
      <c r="L558" s="56">
        <f>39165+(6*364)</f>
        <v>41349</v>
      </c>
      <c r="M558" s="43">
        <f t="shared" ca="1" si="8"/>
        <v>12</v>
      </c>
    </row>
    <row r="559" spans="1:13" x14ac:dyDescent="0.3">
      <c r="A559" s="49" t="s">
        <v>611</v>
      </c>
      <c r="B559" s="49" t="s">
        <v>172</v>
      </c>
      <c r="C559" s="50">
        <v>68273</v>
      </c>
      <c r="D559" s="51">
        <v>68815</v>
      </c>
      <c r="E559" s="52">
        <v>9705506190</v>
      </c>
      <c r="F559" s="43" t="s">
        <v>81</v>
      </c>
      <c r="G559" s="53">
        <v>63285</v>
      </c>
      <c r="H559" s="54" t="s">
        <v>70</v>
      </c>
      <c r="I559" s="54" t="s">
        <v>733</v>
      </c>
      <c r="J559" s="55" t="s">
        <v>72</v>
      </c>
      <c r="K559" s="54" t="s">
        <v>172</v>
      </c>
      <c r="L559" s="56">
        <f>35528+(6*364)</f>
        <v>37712</v>
      </c>
      <c r="M559" s="43">
        <f t="shared" ca="1" si="8"/>
        <v>22</v>
      </c>
    </row>
    <row r="560" spans="1:13" x14ac:dyDescent="0.3">
      <c r="A560" s="49" t="s">
        <v>626</v>
      </c>
      <c r="B560" s="49" t="s">
        <v>172</v>
      </c>
      <c r="C560" s="50">
        <v>46420</v>
      </c>
      <c r="D560" s="51">
        <v>71770</v>
      </c>
      <c r="E560" s="52">
        <v>5058256039</v>
      </c>
      <c r="F560" s="43" t="s">
        <v>81</v>
      </c>
      <c r="G560" s="53">
        <v>117942</v>
      </c>
      <c r="H560" s="54" t="s">
        <v>70</v>
      </c>
      <c r="I560" s="54" t="s">
        <v>391</v>
      </c>
      <c r="J560" s="55" t="s">
        <v>72</v>
      </c>
      <c r="K560" s="54" t="s">
        <v>189</v>
      </c>
      <c r="L560" s="56">
        <f>34995+(6*364)</f>
        <v>37179</v>
      </c>
      <c r="M560" s="43">
        <f t="shared" ca="1" si="8"/>
        <v>24</v>
      </c>
    </row>
    <row r="561" spans="1:13" x14ac:dyDescent="0.3">
      <c r="A561" s="49" t="s">
        <v>627</v>
      </c>
      <c r="B561" s="49" t="s">
        <v>172</v>
      </c>
      <c r="C561" s="50">
        <v>29545</v>
      </c>
      <c r="D561" s="51">
        <v>131917</v>
      </c>
      <c r="E561" s="52">
        <v>7197961953</v>
      </c>
      <c r="F561" s="43" t="s">
        <v>81</v>
      </c>
      <c r="G561" s="53">
        <v>121220</v>
      </c>
      <c r="H561" s="54" t="s">
        <v>70</v>
      </c>
      <c r="I561" s="54" t="s">
        <v>792</v>
      </c>
      <c r="J561" s="55" t="s">
        <v>78</v>
      </c>
      <c r="K561" s="54" t="s">
        <v>84</v>
      </c>
      <c r="L561" s="56">
        <f>38586+(6*364)</f>
        <v>40770</v>
      </c>
      <c r="M561" s="43">
        <f t="shared" ca="1" si="8"/>
        <v>14</v>
      </c>
    </row>
    <row r="562" spans="1:13" x14ac:dyDescent="0.3">
      <c r="A562" s="49" t="s">
        <v>629</v>
      </c>
      <c r="B562" s="49" t="s">
        <v>172</v>
      </c>
      <c r="C562" s="50">
        <v>25926</v>
      </c>
      <c r="D562" s="51">
        <v>64143</v>
      </c>
      <c r="E562" s="52">
        <v>5051653055</v>
      </c>
      <c r="F562" s="43"/>
      <c r="G562" s="53">
        <v>109216</v>
      </c>
      <c r="H562" s="54" t="s">
        <v>108</v>
      </c>
      <c r="I562" s="54" t="s">
        <v>782</v>
      </c>
      <c r="J562" s="55" t="s">
        <v>78</v>
      </c>
      <c r="K562" s="54" t="s">
        <v>106</v>
      </c>
      <c r="L562" s="56">
        <f>40894+(6*364)</f>
        <v>43078</v>
      </c>
      <c r="M562" s="43">
        <f t="shared" ca="1" si="8"/>
        <v>8</v>
      </c>
    </row>
    <row r="563" spans="1:13" x14ac:dyDescent="0.3">
      <c r="A563" s="49" t="s">
        <v>630</v>
      </c>
      <c r="B563" s="49" t="s">
        <v>172</v>
      </c>
      <c r="C563" s="50">
        <v>19798</v>
      </c>
      <c r="D563" s="51">
        <v>29675</v>
      </c>
      <c r="E563" s="52">
        <v>3032380636</v>
      </c>
      <c r="F563" s="43"/>
      <c r="G563" s="53">
        <v>48406</v>
      </c>
      <c r="H563" s="54" t="s">
        <v>86</v>
      </c>
      <c r="I563" s="54" t="s">
        <v>783</v>
      </c>
      <c r="J563" s="55" t="s">
        <v>72</v>
      </c>
      <c r="K563" s="54" t="s">
        <v>172</v>
      </c>
      <c r="L563" s="56">
        <f>36084+(6*364)</f>
        <v>38268</v>
      </c>
      <c r="M563" s="43">
        <f t="shared" ca="1" si="8"/>
        <v>21</v>
      </c>
    </row>
    <row r="564" spans="1:13" x14ac:dyDescent="0.3">
      <c r="A564" s="49" t="s">
        <v>635</v>
      </c>
      <c r="B564" s="49" t="s">
        <v>172</v>
      </c>
      <c r="C564" s="50">
        <v>89815</v>
      </c>
      <c r="D564" s="51">
        <v>40755</v>
      </c>
      <c r="E564" s="52">
        <v>9701630739</v>
      </c>
      <c r="F564" s="43" t="s">
        <v>98</v>
      </c>
      <c r="G564" s="53">
        <v>118834</v>
      </c>
      <c r="H564" s="54" t="s">
        <v>70</v>
      </c>
      <c r="I564" s="54" t="s">
        <v>567</v>
      </c>
      <c r="J564" s="55" t="s">
        <v>100</v>
      </c>
      <c r="K564" s="54" t="s">
        <v>95</v>
      </c>
      <c r="L564" s="56">
        <f>38067+(6*364)</f>
        <v>40251</v>
      </c>
      <c r="M564" s="43">
        <f t="shared" ca="1" si="8"/>
        <v>15</v>
      </c>
    </row>
    <row r="565" spans="1:13" x14ac:dyDescent="0.3">
      <c r="A565" s="49" t="s">
        <v>638</v>
      </c>
      <c r="B565" s="49" t="s">
        <v>172</v>
      </c>
      <c r="C565" s="50">
        <v>33523</v>
      </c>
      <c r="D565" s="51">
        <v>108894</v>
      </c>
      <c r="E565" s="52">
        <v>9707126482</v>
      </c>
      <c r="F565" s="43"/>
      <c r="G565" s="53">
        <v>79040</v>
      </c>
      <c r="H565" s="54" t="s">
        <v>86</v>
      </c>
      <c r="I565" s="54" t="s">
        <v>568</v>
      </c>
      <c r="J565" s="55" t="s">
        <v>88</v>
      </c>
      <c r="K565" s="54" t="s">
        <v>355</v>
      </c>
      <c r="L565" s="56">
        <f>35309+(6*364)</f>
        <v>37493</v>
      </c>
      <c r="M565" s="43">
        <f t="shared" ca="1" si="8"/>
        <v>23</v>
      </c>
    </row>
    <row r="566" spans="1:13" x14ac:dyDescent="0.3">
      <c r="A566" s="49" t="s">
        <v>657</v>
      </c>
      <c r="B566" s="49" t="s">
        <v>172</v>
      </c>
      <c r="C566" s="50">
        <v>95690</v>
      </c>
      <c r="D566" s="51">
        <v>121511</v>
      </c>
      <c r="E566" s="52">
        <v>5055508095</v>
      </c>
      <c r="F566" s="43" t="s">
        <v>98</v>
      </c>
      <c r="G566" s="53">
        <v>75119</v>
      </c>
      <c r="H566" s="54" t="s">
        <v>70</v>
      </c>
      <c r="I566" s="54" t="s">
        <v>666</v>
      </c>
      <c r="J566" s="55" t="s">
        <v>88</v>
      </c>
      <c r="K566" s="54" t="s">
        <v>79</v>
      </c>
      <c r="L566" s="56">
        <f>36594+(6*364)</f>
        <v>38778</v>
      </c>
      <c r="M566" s="43">
        <f t="shared" ca="1" si="8"/>
        <v>19</v>
      </c>
    </row>
    <row r="567" spans="1:13" x14ac:dyDescent="0.3">
      <c r="A567" s="49" t="s">
        <v>659</v>
      </c>
      <c r="B567" s="49" t="s">
        <v>172</v>
      </c>
      <c r="C567" s="50">
        <v>41863</v>
      </c>
      <c r="D567" s="51">
        <v>92550</v>
      </c>
      <c r="E567" s="52">
        <v>9707713771</v>
      </c>
      <c r="F567" s="43"/>
      <c r="G567" s="53">
        <v>73467</v>
      </c>
      <c r="H567" s="54" t="s">
        <v>86</v>
      </c>
      <c r="I567" s="54" t="s">
        <v>797</v>
      </c>
      <c r="J567" s="55" t="s">
        <v>78</v>
      </c>
      <c r="K567" s="54" t="s">
        <v>172</v>
      </c>
      <c r="L567" s="56">
        <f>37793+(6*364)</f>
        <v>39977</v>
      </c>
      <c r="M567" s="43">
        <f t="shared" ca="1" si="8"/>
        <v>16</v>
      </c>
    </row>
    <row r="568" spans="1:13" x14ac:dyDescent="0.3">
      <c r="A568" s="49" t="s">
        <v>674</v>
      </c>
      <c r="B568" s="49" t="s">
        <v>172</v>
      </c>
      <c r="C568" s="50">
        <v>18263</v>
      </c>
      <c r="D568" s="51">
        <v>122471</v>
      </c>
      <c r="E568" s="52">
        <v>9705604891</v>
      </c>
      <c r="F568" s="43" t="s">
        <v>98</v>
      </c>
      <c r="G568" s="53">
        <v>77426</v>
      </c>
      <c r="H568" s="54" t="s">
        <v>70</v>
      </c>
      <c r="I568" s="54" t="s">
        <v>798</v>
      </c>
      <c r="J568" s="55" t="s">
        <v>88</v>
      </c>
      <c r="K568" s="54" t="s">
        <v>172</v>
      </c>
      <c r="L568" s="56">
        <f>38566+(6*364)</f>
        <v>40750</v>
      </c>
      <c r="M568" s="43">
        <f t="shared" ca="1" si="8"/>
        <v>14</v>
      </c>
    </row>
    <row r="569" spans="1:13" x14ac:dyDescent="0.3">
      <c r="A569" s="49" t="s">
        <v>700</v>
      </c>
      <c r="B569" s="49" t="s">
        <v>172</v>
      </c>
      <c r="C569" s="50">
        <v>71905</v>
      </c>
      <c r="D569" s="51">
        <v>137788</v>
      </c>
      <c r="E569" s="52">
        <v>5052256131</v>
      </c>
      <c r="F569" s="43" t="s">
        <v>98</v>
      </c>
      <c r="G569" s="53">
        <v>64429</v>
      </c>
      <c r="H569" s="54" t="s">
        <v>70</v>
      </c>
      <c r="I569" s="54" t="s">
        <v>799</v>
      </c>
      <c r="J569" s="55" t="s">
        <v>78</v>
      </c>
      <c r="K569" s="54" t="s">
        <v>93</v>
      </c>
      <c r="L569" s="56">
        <f>37210+(6*364)</f>
        <v>39394</v>
      </c>
      <c r="M569" s="43">
        <f t="shared" ca="1" si="8"/>
        <v>18</v>
      </c>
    </row>
    <row r="570" spans="1:13" x14ac:dyDescent="0.3">
      <c r="A570" s="49" t="s">
        <v>701</v>
      </c>
      <c r="B570" s="49" t="s">
        <v>172</v>
      </c>
      <c r="C570" s="50">
        <v>14244</v>
      </c>
      <c r="D570" s="51">
        <v>78014</v>
      </c>
      <c r="E570" s="52">
        <v>7198294156</v>
      </c>
      <c r="F570" s="43" t="s">
        <v>91</v>
      </c>
      <c r="G570" s="53">
        <v>115023</v>
      </c>
      <c r="H570" s="54" t="s">
        <v>76</v>
      </c>
      <c r="I570" s="54" t="s">
        <v>668</v>
      </c>
      <c r="J570" s="55" t="s">
        <v>100</v>
      </c>
      <c r="K570" s="54" t="s">
        <v>79</v>
      </c>
      <c r="L570" s="56">
        <f>37231+(6*364)</f>
        <v>39415</v>
      </c>
      <c r="M570" s="43">
        <f t="shared" ca="1" si="8"/>
        <v>18</v>
      </c>
    </row>
    <row r="571" spans="1:13" x14ac:dyDescent="0.3">
      <c r="A571" s="49" t="s">
        <v>815</v>
      </c>
      <c r="B571" s="49" t="s">
        <v>172</v>
      </c>
      <c r="C571" s="50">
        <v>76591</v>
      </c>
      <c r="D571" s="51">
        <v>84196</v>
      </c>
      <c r="E571" s="52">
        <v>9704378387</v>
      </c>
      <c r="F571" s="43" t="s">
        <v>98</v>
      </c>
      <c r="G571" s="53">
        <v>58243</v>
      </c>
      <c r="H571" s="54" t="s">
        <v>76</v>
      </c>
      <c r="I571" s="54" t="s">
        <v>784</v>
      </c>
      <c r="J571" s="55" t="s">
        <v>153</v>
      </c>
      <c r="K571" s="54" t="s">
        <v>146</v>
      </c>
      <c r="L571" s="56">
        <f>42457+(6*364)</f>
        <v>44641</v>
      </c>
      <c r="M571" s="43">
        <f t="shared" ca="1" si="8"/>
        <v>3</v>
      </c>
    </row>
    <row r="572" spans="1:13" x14ac:dyDescent="0.3">
      <c r="A572" s="49" t="s">
        <v>708</v>
      </c>
      <c r="B572" s="49" t="s">
        <v>172</v>
      </c>
      <c r="C572" s="50">
        <v>74328</v>
      </c>
      <c r="D572" s="51">
        <v>91619</v>
      </c>
      <c r="E572" s="52">
        <v>9704713628</v>
      </c>
      <c r="F572" s="43" t="s">
        <v>81</v>
      </c>
      <c r="G572" s="53">
        <v>93173</v>
      </c>
      <c r="H572" s="54" t="s">
        <v>70</v>
      </c>
      <c r="I572" s="54" t="s">
        <v>800</v>
      </c>
      <c r="J572" s="55" t="s">
        <v>88</v>
      </c>
      <c r="K572" s="54" t="s">
        <v>73</v>
      </c>
      <c r="L572" s="56">
        <f>42323+(6*364)</f>
        <v>44507</v>
      </c>
      <c r="M572" s="43">
        <f t="shared" ca="1" si="8"/>
        <v>4</v>
      </c>
    </row>
    <row r="573" spans="1:13" x14ac:dyDescent="0.3">
      <c r="A573" s="49" t="s">
        <v>721</v>
      </c>
      <c r="B573" s="49" t="s">
        <v>172</v>
      </c>
      <c r="C573" s="50">
        <v>76700</v>
      </c>
      <c r="D573" s="51">
        <v>63372</v>
      </c>
      <c r="E573" s="52">
        <v>5053441810</v>
      </c>
      <c r="F573" s="43" t="s">
        <v>91</v>
      </c>
      <c r="G573" s="53">
        <v>50375</v>
      </c>
      <c r="H573" s="54" t="s">
        <v>70</v>
      </c>
      <c r="I573" s="54" t="s">
        <v>571</v>
      </c>
      <c r="J573" s="55" t="s">
        <v>88</v>
      </c>
      <c r="K573" s="54" t="s">
        <v>79</v>
      </c>
      <c r="L573" s="56">
        <f>36349+(6*364)</f>
        <v>38533</v>
      </c>
      <c r="M573" s="43">
        <f t="shared" ca="1" si="8"/>
        <v>20</v>
      </c>
    </row>
    <row r="574" spans="1:13" x14ac:dyDescent="0.3">
      <c r="A574" s="49" t="s">
        <v>743</v>
      </c>
      <c r="B574" s="49" t="s">
        <v>172</v>
      </c>
      <c r="C574" s="50">
        <v>23507</v>
      </c>
      <c r="D574" s="51">
        <v>107322</v>
      </c>
      <c r="E574" s="52">
        <v>5056742736</v>
      </c>
      <c r="F574" s="43" t="s">
        <v>69</v>
      </c>
      <c r="G574" s="53">
        <v>36030</v>
      </c>
      <c r="H574" s="54" t="s">
        <v>76</v>
      </c>
      <c r="I574" s="54" t="s">
        <v>165</v>
      </c>
      <c r="J574" s="55" t="s">
        <v>78</v>
      </c>
      <c r="K574" s="54" t="s">
        <v>93</v>
      </c>
      <c r="L574" s="56">
        <f>42334+(6*364)</f>
        <v>44518</v>
      </c>
      <c r="M574" s="43">
        <f t="shared" ca="1" si="8"/>
        <v>4</v>
      </c>
    </row>
    <row r="575" spans="1:13" x14ac:dyDescent="0.3">
      <c r="A575" s="49" t="s">
        <v>816</v>
      </c>
      <c r="B575" s="49" t="s">
        <v>172</v>
      </c>
      <c r="C575" s="50">
        <v>36768</v>
      </c>
      <c r="D575" s="51">
        <v>104148</v>
      </c>
      <c r="E575" s="52">
        <v>9703077504</v>
      </c>
      <c r="F575" s="43"/>
      <c r="G575" s="53">
        <v>63705</v>
      </c>
      <c r="H575" s="54" t="s">
        <v>86</v>
      </c>
      <c r="I575" s="54" t="s">
        <v>573</v>
      </c>
      <c r="J575" s="55" t="s">
        <v>72</v>
      </c>
      <c r="K575" s="54" t="s">
        <v>73</v>
      </c>
      <c r="L575" s="56">
        <f>36679+(6*364)</f>
        <v>38863</v>
      </c>
      <c r="M575" s="43">
        <f t="shared" ca="1" si="8"/>
        <v>19</v>
      </c>
    </row>
    <row r="576" spans="1:13" x14ac:dyDescent="0.3">
      <c r="A576" s="49" t="s">
        <v>745</v>
      </c>
      <c r="B576" s="49" t="s">
        <v>172</v>
      </c>
      <c r="C576" s="50">
        <v>95633</v>
      </c>
      <c r="D576" s="51">
        <v>95097</v>
      </c>
      <c r="E576" s="52">
        <v>9705866887</v>
      </c>
      <c r="F576" s="43"/>
      <c r="G576" s="53">
        <v>79330</v>
      </c>
      <c r="H576" s="54" t="s">
        <v>86</v>
      </c>
      <c r="I576" s="54" t="s">
        <v>801</v>
      </c>
      <c r="J576" s="55" t="s">
        <v>100</v>
      </c>
      <c r="K576" s="54" t="s">
        <v>89</v>
      </c>
      <c r="L576" s="56">
        <f>38122+(6*364)</f>
        <v>40306</v>
      </c>
      <c r="M576" s="43">
        <f t="shared" ca="1" si="8"/>
        <v>15</v>
      </c>
    </row>
    <row r="577" spans="1:13" x14ac:dyDescent="0.3">
      <c r="A577" s="49" t="s">
        <v>18</v>
      </c>
      <c r="B577" s="49" t="s">
        <v>172</v>
      </c>
      <c r="C577" s="50">
        <v>92778</v>
      </c>
      <c r="D577" s="51">
        <v>73385</v>
      </c>
      <c r="E577" s="52">
        <v>5052238881</v>
      </c>
      <c r="F577" s="43" t="s">
        <v>69</v>
      </c>
      <c r="G577" s="53">
        <v>112969</v>
      </c>
      <c r="H577" s="54" t="s">
        <v>76</v>
      </c>
      <c r="I577" s="54" t="s">
        <v>802</v>
      </c>
      <c r="J577" s="55" t="s">
        <v>72</v>
      </c>
      <c r="K577" s="54" t="s">
        <v>79</v>
      </c>
      <c r="L577" s="56">
        <f>36749+(6*364)</f>
        <v>38933</v>
      </c>
      <c r="M577" s="43">
        <f t="shared" ca="1" si="8"/>
        <v>19</v>
      </c>
    </row>
    <row r="578" spans="1:13" x14ac:dyDescent="0.3">
      <c r="A578" s="49" t="s">
        <v>754</v>
      </c>
      <c r="B578" s="49" t="s">
        <v>172</v>
      </c>
      <c r="C578" s="50">
        <v>87500</v>
      </c>
      <c r="D578" s="51">
        <v>75523</v>
      </c>
      <c r="E578" s="52">
        <v>7196026842</v>
      </c>
      <c r="F578" s="43" t="s">
        <v>91</v>
      </c>
      <c r="G578" s="53">
        <v>71780</v>
      </c>
      <c r="H578" s="54" t="s">
        <v>70</v>
      </c>
      <c r="I578" s="54" t="s">
        <v>669</v>
      </c>
      <c r="J578" s="55" t="s">
        <v>153</v>
      </c>
      <c r="K578" s="54" t="s">
        <v>355</v>
      </c>
      <c r="L578" s="56">
        <f>38597+(6*364)</f>
        <v>40781</v>
      </c>
      <c r="M578" s="43">
        <f t="shared" ref="M578:M641" ca="1" si="9">DATEDIF(L578,TODAY(),"Y")</f>
        <v>14</v>
      </c>
    </row>
    <row r="579" spans="1:13" x14ac:dyDescent="0.3">
      <c r="A579" s="49" t="s">
        <v>766</v>
      </c>
      <c r="B579" s="49" t="s">
        <v>172</v>
      </c>
      <c r="C579" s="50">
        <v>12454</v>
      </c>
      <c r="D579" s="51">
        <v>86423</v>
      </c>
      <c r="E579" s="52">
        <v>9704888110</v>
      </c>
      <c r="F579" s="43" t="s">
        <v>81</v>
      </c>
      <c r="G579" s="53">
        <v>90230</v>
      </c>
      <c r="H579" s="54" t="s">
        <v>70</v>
      </c>
      <c r="I579" s="54" t="s">
        <v>804</v>
      </c>
      <c r="J579" s="55" t="s">
        <v>100</v>
      </c>
      <c r="K579" s="54" t="s">
        <v>89</v>
      </c>
      <c r="L579" s="56">
        <f>40836+(6*364)</f>
        <v>43020</v>
      </c>
      <c r="M579" s="43">
        <f t="shared" ca="1" si="9"/>
        <v>8</v>
      </c>
    </row>
    <row r="580" spans="1:13" x14ac:dyDescent="0.3">
      <c r="A580" s="49" t="s">
        <v>769</v>
      </c>
      <c r="B580" s="49" t="s">
        <v>172</v>
      </c>
      <c r="C580" s="50">
        <v>16741</v>
      </c>
      <c r="D580" s="51">
        <v>76834</v>
      </c>
      <c r="E580" s="52">
        <v>9708721709</v>
      </c>
      <c r="F580" s="43" t="s">
        <v>91</v>
      </c>
      <c r="G580" s="53">
        <v>105225</v>
      </c>
      <c r="H580" s="54" t="s">
        <v>70</v>
      </c>
      <c r="I580" s="54" t="s">
        <v>347</v>
      </c>
      <c r="J580" s="55" t="s">
        <v>83</v>
      </c>
      <c r="K580" s="54" t="s">
        <v>89</v>
      </c>
      <c r="L580" s="56">
        <f>37284+(6*364)</f>
        <v>39468</v>
      </c>
      <c r="M580" s="43">
        <f t="shared" ca="1" si="9"/>
        <v>17</v>
      </c>
    </row>
    <row r="581" spans="1:13" x14ac:dyDescent="0.3">
      <c r="A581" s="49" t="s">
        <v>770</v>
      </c>
      <c r="B581" s="49" t="s">
        <v>172</v>
      </c>
      <c r="C581" s="50">
        <v>46695</v>
      </c>
      <c r="D581" s="51">
        <v>65527</v>
      </c>
      <c r="E581" s="52">
        <v>3035511103</v>
      </c>
      <c r="F581" s="43" t="s">
        <v>91</v>
      </c>
      <c r="G581" s="53">
        <v>108525</v>
      </c>
      <c r="H581" s="54" t="s">
        <v>70</v>
      </c>
      <c r="I581" s="54" t="s">
        <v>805</v>
      </c>
      <c r="J581" s="55" t="s">
        <v>83</v>
      </c>
      <c r="K581" s="54" t="s">
        <v>89</v>
      </c>
      <c r="L581" s="56">
        <f>39860+(6*364)</f>
        <v>42044</v>
      </c>
      <c r="M581" s="43">
        <f t="shared" ca="1" si="9"/>
        <v>10</v>
      </c>
    </row>
    <row r="582" spans="1:13" x14ac:dyDescent="0.3">
      <c r="A582" s="49" t="s">
        <v>773</v>
      </c>
      <c r="B582" s="49" t="s">
        <v>172</v>
      </c>
      <c r="C582" s="50">
        <v>60425</v>
      </c>
      <c r="D582" s="51">
        <v>47475</v>
      </c>
      <c r="E582" s="52">
        <v>9704100997</v>
      </c>
      <c r="F582" s="43" t="s">
        <v>98</v>
      </c>
      <c r="G582" s="53">
        <v>80431</v>
      </c>
      <c r="H582" s="54" t="s">
        <v>70</v>
      </c>
      <c r="I582" s="54" t="s">
        <v>574</v>
      </c>
      <c r="J582" s="55" t="s">
        <v>83</v>
      </c>
      <c r="K582" s="54" t="s">
        <v>79</v>
      </c>
      <c r="L582" s="56">
        <f>37221+(6*364)</f>
        <v>39405</v>
      </c>
      <c r="M582" s="43">
        <f t="shared" ca="1" si="9"/>
        <v>18</v>
      </c>
    </row>
    <row r="583" spans="1:13" x14ac:dyDescent="0.3">
      <c r="A583" s="49" t="s">
        <v>775</v>
      </c>
      <c r="B583" s="49" t="s">
        <v>172</v>
      </c>
      <c r="C583" s="50">
        <v>30124</v>
      </c>
      <c r="D583" s="51">
        <v>35602</v>
      </c>
      <c r="E583" s="52">
        <v>3033046338</v>
      </c>
      <c r="F583" s="43" t="s">
        <v>98</v>
      </c>
      <c r="G583" s="53">
        <v>39937</v>
      </c>
      <c r="H583" s="54" t="s">
        <v>70</v>
      </c>
      <c r="I583" s="54" t="s">
        <v>749</v>
      </c>
      <c r="J583" s="55" t="s">
        <v>72</v>
      </c>
      <c r="K583" s="54" t="s">
        <v>79</v>
      </c>
      <c r="L583" s="56">
        <f>37061+(6*364)</f>
        <v>39245</v>
      </c>
      <c r="M583" s="43">
        <f t="shared" ca="1" si="9"/>
        <v>18</v>
      </c>
    </row>
    <row r="584" spans="1:13" x14ac:dyDescent="0.3">
      <c r="A584" s="49" t="s">
        <v>792</v>
      </c>
      <c r="B584" s="49" t="s">
        <v>172</v>
      </c>
      <c r="C584" s="50">
        <v>35260</v>
      </c>
      <c r="D584" s="51">
        <v>119779</v>
      </c>
      <c r="E584" s="52">
        <v>3032229885</v>
      </c>
      <c r="F584" s="43"/>
      <c r="G584" s="53">
        <v>71166</v>
      </c>
      <c r="H584" s="54" t="s">
        <v>86</v>
      </c>
      <c r="I584" s="54" t="s">
        <v>806</v>
      </c>
      <c r="J584" s="55" t="s">
        <v>78</v>
      </c>
      <c r="K584" s="54" t="s">
        <v>89</v>
      </c>
      <c r="L584" s="56">
        <f>38622+(6*364)</f>
        <v>40806</v>
      </c>
      <c r="M584" s="43">
        <f t="shared" ca="1" si="9"/>
        <v>14</v>
      </c>
    </row>
    <row r="585" spans="1:13" x14ac:dyDescent="0.3">
      <c r="A585" s="49" t="s">
        <v>798</v>
      </c>
      <c r="B585" s="49" t="s">
        <v>172</v>
      </c>
      <c r="C585" s="50">
        <v>11431</v>
      </c>
      <c r="D585" s="51">
        <v>74695</v>
      </c>
      <c r="E585" s="52">
        <v>9703383207</v>
      </c>
      <c r="F585" s="43" t="s">
        <v>75</v>
      </c>
      <c r="G585" s="53">
        <v>122780</v>
      </c>
      <c r="H585" s="54" t="s">
        <v>76</v>
      </c>
      <c r="I585" s="54" t="s">
        <v>734</v>
      </c>
      <c r="J585" s="55" t="s">
        <v>78</v>
      </c>
      <c r="K585" s="54" t="s">
        <v>19</v>
      </c>
      <c r="L585" s="56">
        <f>38095+(6*364)</f>
        <v>40279</v>
      </c>
      <c r="M585" s="43">
        <f t="shared" ca="1" si="9"/>
        <v>15</v>
      </c>
    </row>
    <row r="586" spans="1:13" x14ac:dyDescent="0.3">
      <c r="A586" s="49" t="s">
        <v>799</v>
      </c>
      <c r="B586" s="49" t="s">
        <v>172</v>
      </c>
      <c r="C586" s="50">
        <v>37676</v>
      </c>
      <c r="D586" s="51">
        <v>126663</v>
      </c>
      <c r="E586" s="52">
        <v>3036114005</v>
      </c>
      <c r="F586" s="43" t="s">
        <v>75</v>
      </c>
      <c r="G586" s="53">
        <v>87363</v>
      </c>
      <c r="H586" s="54" t="s">
        <v>70</v>
      </c>
      <c r="I586" s="54" t="s">
        <v>260</v>
      </c>
      <c r="J586" s="55" t="s">
        <v>72</v>
      </c>
      <c r="K586" s="54" t="s">
        <v>89</v>
      </c>
      <c r="L586" s="56">
        <f>39558+(6*364)</f>
        <v>41742</v>
      </c>
      <c r="M586" s="43">
        <f t="shared" ca="1" si="9"/>
        <v>11</v>
      </c>
    </row>
    <row r="587" spans="1:13" x14ac:dyDescent="0.3">
      <c r="A587" s="49" t="s">
        <v>800</v>
      </c>
      <c r="B587" s="49" t="s">
        <v>172</v>
      </c>
      <c r="C587" s="50">
        <v>92568</v>
      </c>
      <c r="D587" s="51">
        <v>63924</v>
      </c>
      <c r="E587" s="52">
        <v>7192224790</v>
      </c>
      <c r="F587" s="43"/>
      <c r="G587" s="53">
        <v>89021</v>
      </c>
      <c r="H587" s="54" t="s">
        <v>86</v>
      </c>
      <c r="I587" s="54" t="s">
        <v>807</v>
      </c>
      <c r="J587" s="55" t="s">
        <v>78</v>
      </c>
      <c r="K587" s="54" t="s">
        <v>89</v>
      </c>
      <c r="L587" s="56">
        <f>41746+(6*364)</f>
        <v>43930</v>
      </c>
      <c r="M587" s="43">
        <f t="shared" ca="1" si="9"/>
        <v>5</v>
      </c>
    </row>
    <row r="588" spans="1:13" x14ac:dyDescent="0.3">
      <c r="A588" s="49" t="s">
        <v>802</v>
      </c>
      <c r="B588" s="49" t="s">
        <v>172</v>
      </c>
      <c r="C588" s="50">
        <v>38299</v>
      </c>
      <c r="D588" s="51">
        <v>65418</v>
      </c>
      <c r="E588" s="52">
        <v>5053695179</v>
      </c>
      <c r="F588" s="43" t="s">
        <v>81</v>
      </c>
      <c r="G588" s="53">
        <v>71360</v>
      </c>
      <c r="H588" s="54" t="s">
        <v>70</v>
      </c>
      <c r="I588" s="54" t="s">
        <v>808</v>
      </c>
      <c r="J588" s="55" t="s">
        <v>72</v>
      </c>
      <c r="K588" s="54" t="s">
        <v>89</v>
      </c>
      <c r="L588" s="56">
        <f>39790+(6*364)</f>
        <v>41974</v>
      </c>
      <c r="M588" s="43">
        <f t="shared" ca="1" si="9"/>
        <v>11</v>
      </c>
    </row>
    <row r="589" spans="1:13" x14ac:dyDescent="0.3">
      <c r="A589" s="49" t="s">
        <v>812</v>
      </c>
      <c r="B589" s="49" t="s">
        <v>172</v>
      </c>
      <c r="C589" s="50">
        <v>56576</v>
      </c>
      <c r="D589" s="51">
        <v>77547</v>
      </c>
      <c r="E589" s="52">
        <v>9706456972</v>
      </c>
      <c r="F589" s="43" t="s">
        <v>98</v>
      </c>
      <c r="G589" s="53">
        <v>62284</v>
      </c>
      <c r="H589" s="54" t="s">
        <v>70</v>
      </c>
      <c r="I589" s="54" t="s">
        <v>392</v>
      </c>
      <c r="J589" s="55" t="s">
        <v>72</v>
      </c>
      <c r="K589" s="54" t="s">
        <v>89</v>
      </c>
      <c r="L589" s="56">
        <f>40245+(6*364)</f>
        <v>42429</v>
      </c>
      <c r="M589" s="43">
        <f t="shared" ca="1" si="9"/>
        <v>9</v>
      </c>
    </row>
    <row r="590" spans="1:13" x14ac:dyDescent="0.3">
      <c r="A590" s="49" t="s">
        <v>821</v>
      </c>
      <c r="B590" s="49" t="s">
        <v>172</v>
      </c>
      <c r="C590" s="50">
        <v>67561</v>
      </c>
      <c r="D590" s="51">
        <v>100613</v>
      </c>
      <c r="E590" s="52">
        <v>5052921836</v>
      </c>
      <c r="F590" s="43" t="s">
        <v>98</v>
      </c>
      <c r="G590" s="53">
        <v>124983</v>
      </c>
      <c r="H590" s="54" t="s">
        <v>70</v>
      </c>
      <c r="I590" s="54" t="s">
        <v>810</v>
      </c>
      <c r="J590" s="55" t="s">
        <v>72</v>
      </c>
      <c r="K590" s="54" t="s">
        <v>89</v>
      </c>
      <c r="L590" s="56">
        <f>40431+(6*364)</f>
        <v>42615</v>
      </c>
      <c r="M590" s="43">
        <f t="shared" ca="1" si="9"/>
        <v>9</v>
      </c>
    </row>
    <row r="591" spans="1:13" x14ac:dyDescent="0.3">
      <c r="A591" s="49" t="s">
        <v>822</v>
      </c>
      <c r="B591" s="49" t="s">
        <v>172</v>
      </c>
      <c r="C591" s="50">
        <v>80842</v>
      </c>
      <c r="D591" s="51">
        <v>71312</v>
      </c>
      <c r="E591" s="52">
        <v>7193552027</v>
      </c>
      <c r="F591" s="43" t="s">
        <v>98</v>
      </c>
      <c r="G591" s="53">
        <v>61811</v>
      </c>
      <c r="H591" s="54" t="s">
        <v>76</v>
      </c>
      <c r="I591" s="54" t="s">
        <v>262</v>
      </c>
      <c r="J591" s="55" t="s">
        <v>78</v>
      </c>
      <c r="K591" s="54" t="s">
        <v>204</v>
      </c>
      <c r="L591" s="56">
        <f>35084+(6*364)</f>
        <v>37268</v>
      </c>
      <c r="M591" s="43">
        <f t="shared" ca="1" si="9"/>
        <v>23</v>
      </c>
    </row>
    <row r="592" spans="1:13" x14ac:dyDescent="0.3">
      <c r="A592" s="49" t="s">
        <v>823</v>
      </c>
      <c r="B592" s="49" t="s">
        <v>172</v>
      </c>
      <c r="C592" s="50">
        <v>83124</v>
      </c>
      <c r="D592" s="51">
        <v>128438</v>
      </c>
      <c r="E592" s="52">
        <v>5054084456</v>
      </c>
      <c r="F592" s="43" t="s">
        <v>98</v>
      </c>
      <c r="G592" s="53">
        <v>119926</v>
      </c>
      <c r="H592" s="54" t="s">
        <v>70</v>
      </c>
      <c r="I592" s="54" t="s">
        <v>811</v>
      </c>
      <c r="J592" s="55" t="s">
        <v>153</v>
      </c>
      <c r="K592" s="54" t="s">
        <v>93</v>
      </c>
      <c r="L592" s="56">
        <f>37750+(6*364)</f>
        <v>39934</v>
      </c>
      <c r="M592" s="43">
        <f t="shared" ca="1" si="9"/>
        <v>16</v>
      </c>
    </row>
    <row r="593" spans="1:13" x14ac:dyDescent="0.3">
      <c r="A593" s="49" t="s">
        <v>824</v>
      </c>
      <c r="B593" s="49" t="s">
        <v>172</v>
      </c>
      <c r="C593" s="50">
        <v>54518</v>
      </c>
      <c r="D593" s="51">
        <v>131669</v>
      </c>
      <c r="E593" s="52">
        <v>7192416398</v>
      </c>
      <c r="F593" s="43" t="s">
        <v>91</v>
      </c>
      <c r="G593" s="53">
        <v>54764</v>
      </c>
      <c r="H593" s="54" t="s">
        <v>76</v>
      </c>
      <c r="I593" s="54" t="s">
        <v>575</v>
      </c>
      <c r="J593" s="55" t="s">
        <v>88</v>
      </c>
      <c r="K593" s="54" t="s">
        <v>355</v>
      </c>
      <c r="L593" s="56">
        <f>38443+(6*364)</f>
        <v>40627</v>
      </c>
      <c r="M593" s="43">
        <f t="shared" ca="1" si="9"/>
        <v>14</v>
      </c>
    </row>
    <row r="594" spans="1:13" x14ac:dyDescent="0.3">
      <c r="A594" s="49" t="s">
        <v>825</v>
      </c>
      <c r="B594" s="49" t="s">
        <v>172</v>
      </c>
      <c r="C594" s="50">
        <v>69472</v>
      </c>
      <c r="D594" s="51">
        <v>113667</v>
      </c>
      <c r="E594" s="52">
        <v>5057429525</v>
      </c>
      <c r="F594" s="43" t="s">
        <v>98</v>
      </c>
      <c r="G594" s="53">
        <v>48171</v>
      </c>
      <c r="H594" s="54" t="s">
        <v>70</v>
      </c>
      <c r="I594" s="54" t="s">
        <v>692</v>
      </c>
      <c r="J594" s="55" t="s">
        <v>88</v>
      </c>
      <c r="K594" s="54" t="s">
        <v>204</v>
      </c>
      <c r="L594" s="56">
        <f>35384+(6*364)</f>
        <v>37568</v>
      </c>
      <c r="M594" s="43">
        <f t="shared" ca="1" si="9"/>
        <v>23</v>
      </c>
    </row>
    <row r="595" spans="1:13" x14ac:dyDescent="0.3">
      <c r="A595" s="49" t="s">
        <v>826</v>
      </c>
      <c r="B595" s="49" t="s">
        <v>172</v>
      </c>
      <c r="C595" s="50">
        <v>36703</v>
      </c>
      <c r="D595" s="51">
        <v>70067</v>
      </c>
      <c r="E595" s="52">
        <v>3031124357</v>
      </c>
      <c r="F595" s="43" t="s">
        <v>91</v>
      </c>
      <c r="G595" s="53">
        <v>48580</v>
      </c>
      <c r="H595" s="54" t="s">
        <v>76</v>
      </c>
      <c r="I595" s="54" t="s">
        <v>394</v>
      </c>
      <c r="J595" s="55" t="s">
        <v>72</v>
      </c>
      <c r="K595" s="54" t="s">
        <v>172</v>
      </c>
      <c r="L595" s="56">
        <f>35146+(6*364)</f>
        <v>37330</v>
      </c>
      <c r="M595" s="43">
        <f t="shared" ca="1" si="9"/>
        <v>23</v>
      </c>
    </row>
    <row r="596" spans="1:13" x14ac:dyDescent="0.3">
      <c r="A596" s="49" t="s">
        <v>827</v>
      </c>
      <c r="B596" s="49" t="s">
        <v>172</v>
      </c>
      <c r="C596" s="50">
        <v>94284</v>
      </c>
      <c r="D596" s="51">
        <v>69658</v>
      </c>
      <c r="E596" s="52">
        <v>7191240785</v>
      </c>
      <c r="F596" s="43" t="s">
        <v>91</v>
      </c>
      <c r="G596" s="53">
        <v>51727</v>
      </c>
      <c r="H596" s="54" t="s">
        <v>70</v>
      </c>
      <c r="I596" s="54" t="s">
        <v>812</v>
      </c>
      <c r="J596" s="55" t="s">
        <v>153</v>
      </c>
      <c r="K596" s="54" t="s">
        <v>158</v>
      </c>
      <c r="L596" s="56">
        <f>39591+(6*364)</f>
        <v>41775</v>
      </c>
      <c r="M596" s="43">
        <f t="shared" ca="1" si="9"/>
        <v>11</v>
      </c>
    </row>
    <row r="597" spans="1:13" x14ac:dyDescent="0.3">
      <c r="A597" s="49" t="s">
        <v>828</v>
      </c>
      <c r="B597" s="49" t="s">
        <v>172</v>
      </c>
      <c r="C597" s="50">
        <v>37342</v>
      </c>
      <c r="D597" s="51">
        <v>65681</v>
      </c>
      <c r="E597" s="52">
        <v>3032822520</v>
      </c>
      <c r="F597" s="43" t="s">
        <v>91</v>
      </c>
      <c r="G597" s="53">
        <v>67897</v>
      </c>
      <c r="H597" s="54" t="s">
        <v>70</v>
      </c>
      <c r="I597" s="54" t="s">
        <v>813</v>
      </c>
      <c r="J597" s="55" t="s">
        <v>100</v>
      </c>
      <c r="K597" s="54" t="s">
        <v>158</v>
      </c>
      <c r="L597" s="56">
        <f>35169+(6*364)</f>
        <v>37353</v>
      </c>
      <c r="M597" s="43">
        <f t="shared" ca="1" si="9"/>
        <v>23</v>
      </c>
    </row>
    <row r="598" spans="1:13" x14ac:dyDescent="0.3">
      <c r="A598" s="49" t="s">
        <v>829</v>
      </c>
      <c r="B598" s="49" t="s">
        <v>172</v>
      </c>
      <c r="C598" s="50">
        <v>42799</v>
      </c>
      <c r="D598" s="51">
        <v>111484</v>
      </c>
      <c r="E598" s="52">
        <v>5056345909</v>
      </c>
      <c r="F598" s="43" t="s">
        <v>69</v>
      </c>
      <c r="G598" s="53">
        <v>70487</v>
      </c>
      <c r="H598" s="54" t="s">
        <v>76</v>
      </c>
      <c r="I598" s="54" t="s">
        <v>396</v>
      </c>
      <c r="J598" s="55" t="s">
        <v>88</v>
      </c>
      <c r="K598" s="54" t="s">
        <v>89</v>
      </c>
      <c r="L598" s="56">
        <f>36075+(6*364)</f>
        <v>38259</v>
      </c>
      <c r="M598" s="43">
        <f t="shared" ca="1" si="9"/>
        <v>21</v>
      </c>
    </row>
    <row r="599" spans="1:13" x14ac:dyDescent="0.3">
      <c r="A599" s="49" t="s">
        <v>830</v>
      </c>
      <c r="B599" s="49" t="s">
        <v>172</v>
      </c>
      <c r="C599" s="50">
        <v>52329</v>
      </c>
      <c r="D599" s="51">
        <v>52277</v>
      </c>
      <c r="E599" s="52">
        <v>3038317543</v>
      </c>
      <c r="F599" s="43" t="s">
        <v>98</v>
      </c>
      <c r="G599" s="53">
        <v>75699</v>
      </c>
      <c r="H599" s="54" t="s">
        <v>76</v>
      </c>
      <c r="I599" s="54" t="s">
        <v>671</v>
      </c>
      <c r="J599" s="55" t="s">
        <v>78</v>
      </c>
      <c r="K599" s="54" t="s">
        <v>84</v>
      </c>
      <c r="L599" s="56">
        <f>37144+(6*364)</f>
        <v>39328</v>
      </c>
      <c r="M599" s="43">
        <f t="shared" ca="1" si="9"/>
        <v>18</v>
      </c>
    </row>
    <row r="600" spans="1:13" x14ac:dyDescent="0.3">
      <c r="A600" s="49" t="s">
        <v>831</v>
      </c>
      <c r="B600" s="49" t="s">
        <v>172</v>
      </c>
      <c r="C600" s="50">
        <v>35673</v>
      </c>
      <c r="D600" s="51">
        <v>48762</v>
      </c>
      <c r="E600" s="52">
        <v>9702447501</v>
      </c>
      <c r="F600" s="43" t="s">
        <v>81</v>
      </c>
      <c r="G600" s="53">
        <v>111236</v>
      </c>
      <c r="H600" s="54" t="s">
        <v>70</v>
      </c>
      <c r="I600" s="54" t="s">
        <v>735</v>
      </c>
      <c r="J600" s="55" t="s">
        <v>88</v>
      </c>
      <c r="K600" s="54" t="s">
        <v>523</v>
      </c>
      <c r="L600" s="56">
        <f>42643+(6*364)</f>
        <v>44827</v>
      </c>
      <c r="M600" s="43">
        <f t="shared" ca="1" si="9"/>
        <v>3</v>
      </c>
    </row>
    <row r="601" spans="1:13" x14ac:dyDescent="0.3">
      <c r="A601" s="49" t="s">
        <v>832</v>
      </c>
      <c r="B601" s="49" t="s">
        <v>172</v>
      </c>
      <c r="C601" s="50">
        <v>61532</v>
      </c>
      <c r="D601" s="51">
        <v>123417</v>
      </c>
      <c r="E601" s="52">
        <v>5055157047</v>
      </c>
      <c r="F601" s="43"/>
      <c r="G601" s="53">
        <v>86758</v>
      </c>
      <c r="H601" s="54" t="s">
        <v>86</v>
      </c>
      <c r="I601" s="54" t="s">
        <v>398</v>
      </c>
      <c r="J601" s="55" t="s">
        <v>72</v>
      </c>
      <c r="K601" s="54" t="s">
        <v>172</v>
      </c>
      <c r="L601" s="56">
        <f>40826+(6*364)</f>
        <v>43010</v>
      </c>
      <c r="M601" s="43">
        <f t="shared" ca="1" si="9"/>
        <v>8</v>
      </c>
    </row>
    <row r="602" spans="1:13" x14ac:dyDescent="0.3">
      <c r="A602" s="49" t="s">
        <v>133</v>
      </c>
      <c r="B602" s="49" t="s">
        <v>79</v>
      </c>
      <c r="C602" s="50">
        <v>13405</v>
      </c>
      <c r="D602" s="51">
        <v>52605</v>
      </c>
      <c r="E602" s="52">
        <v>3035821616</v>
      </c>
      <c r="F602" s="43"/>
      <c r="G602" s="53">
        <v>67453</v>
      </c>
      <c r="H602" s="54" t="s">
        <v>108</v>
      </c>
      <c r="I602" s="54" t="s">
        <v>785</v>
      </c>
      <c r="J602" s="55" t="s">
        <v>88</v>
      </c>
      <c r="K602" s="54" t="s">
        <v>103</v>
      </c>
      <c r="L602" s="56">
        <f>40151+(6*364)</f>
        <v>42335</v>
      </c>
      <c r="M602" s="43">
        <f t="shared" ca="1" si="9"/>
        <v>10</v>
      </c>
    </row>
    <row r="603" spans="1:13" x14ac:dyDescent="0.3">
      <c r="A603" s="49" t="s">
        <v>139</v>
      </c>
      <c r="B603" s="49" t="s">
        <v>79</v>
      </c>
      <c r="C603" s="50">
        <v>26888</v>
      </c>
      <c r="D603" s="51">
        <v>99186</v>
      </c>
      <c r="E603" s="52">
        <v>7194416232</v>
      </c>
      <c r="F603" s="43" t="s">
        <v>81</v>
      </c>
      <c r="G603" s="53">
        <v>107133</v>
      </c>
      <c r="H603" s="54" t="s">
        <v>70</v>
      </c>
      <c r="I603" s="54" t="s">
        <v>814</v>
      </c>
      <c r="J603" s="55" t="s">
        <v>72</v>
      </c>
      <c r="K603" s="54" t="s">
        <v>89</v>
      </c>
      <c r="L603" s="56">
        <f>39997+(6*364)</f>
        <v>42181</v>
      </c>
      <c r="M603" s="43">
        <f t="shared" ca="1" si="9"/>
        <v>10</v>
      </c>
    </row>
    <row r="604" spans="1:13" x14ac:dyDescent="0.3">
      <c r="A604" s="49" t="s">
        <v>150</v>
      </c>
      <c r="B604" s="49" t="s">
        <v>79</v>
      </c>
      <c r="C604" s="50">
        <v>60583</v>
      </c>
      <c r="D604" s="51">
        <v>54481</v>
      </c>
      <c r="E604" s="52">
        <v>5055789252</v>
      </c>
      <c r="F604" s="43" t="s">
        <v>91</v>
      </c>
      <c r="G604" s="53">
        <v>87144</v>
      </c>
      <c r="H604" s="54" t="s">
        <v>70</v>
      </c>
      <c r="I604" s="54" t="s">
        <v>400</v>
      </c>
      <c r="J604" s="55" t="s">
        <v>88</v>
      </c>
      <c r="K604" s="54" t="s">
        <v>79</v>
      </c>
      <c r="L604" s="56">
        <f>42604+(6*364)</f>
        <v>44788</v>
      </c>
      <c r="M604" s="43">
        <f t="shared" ca="1" si="9"/>
        <v>3</v>
      </c>
    </row>
    <row r="605" spans="1:13" x14ac:dyDescent="0.3">
      <c r="A605" s="49" t="s">
        <v>168</v>
      </c>
      <c r="B605" s="49" t="s">
        <v>79</v>
      </c>
      <c r="C605" s="50">
        <v>77222</v>
      </c>
      <c r="D605" s="51">
        <v>31026</v>
      </c>
      <c r="E605" s="52">
        <v>9706973131</v>
      </c>
      <c r="F605" s="43"/>
      <c r="G605" s="53">
        <v>72518</v>
      </c>
      <c r="H605" s="54" t="s">
        <v>86</v>
      </c>
      <c r="I605" s="54" t="s">
        <v>736</v>
      </c>
      <c r="J605" s="55" t="s">
        <v>83</v>
      </c>
      <c r="K605" s="54" t="s">
        <v>73</v>
      </c>
      <c r="L605" s="56">
        <f>42183+(6*364)</f>
        <v>44367</v>
      </c>
      <c r="M605" s="43">
        <f t="shared" ca="1" si="9"/>
        <v>4</v>
      </c>
    </row>
    <row r="606" spans="1:13" x14ac:dyDescent="0.3">
      <c r="A606" s="49" t="s">
        <v>183</v>
      </c>
      <c r="B606" s="49" t="s">
        <v>79</v>
      </c>
      <c r="C606" s="50">
        <v>67123</v>
      </c>
      <c r="D606" s="51">
        <v>77359</v>
      </c>
      <c r="E606" s="52">
        <v>9705536623</v>
      </c>
      <c r="F606" s="43" t="s">
        <v>75</v>
      </c>
      <c r="G606" s="53">
        <v>121758</v>
      </c>
      <c r="H606" s="54" t="s">
        <v>70</v>
      </c>
      <c r="I606" s="54" t="s">
        <v>672</v>
      </c>
      <c r="J606" s="55" t="s">
        <v>72</v>
      </c>
      <c r="K606" s="54" t="s">
        <v>79</v>
      </c>
      <c r="L606" s="56">
        <f>37500+(6*364)</f>
        <v>39684</v>
      </c>
      <c r="M606" s="43">
        <f t="shared" ca="1" si="9"/>
        <v>17</v>
      </c>
    </row>
    <row r="607" spans="1:13" x14ac:dyDescent="0.3">
      <c r="A607" s="49" t="s">
        <v>215</v>
      </c>
      <c r="B607" s="49" t="s">
        <v>79</v>
      </c>
      <c r="C607" s="50">
        <v>13584</v>
      </c>
      <c r="D607" s="51">
        <v>58454</v>
      </c>
      <c r="E607" s="52">
        <v>9701715499</v>
      </c>
      <c r="F607" s="43"/>
      <c r="G607" s="53">
        <v>93813</v>
      </c>
      <c r="H607" s="54" t="s">
        <v>86</v>
      </c>
      <c r="I607" s="54" t="s">
        <v>124</v>
      </c>
      <c r="J607" s="55" t="s">
        <v>88</v>
      </c>
      <c r="K607" s="54" t="s">
        <v>128</v>
      </c>
      <c r="L607" s="56">
        <f>37491+(6*364)</f>
        <v>39675</v>
      </c>
      <c r="M607" s="43">
        <f t="shared" ca="1" si="9"/>
        <v>17</v>
      </c>
    </row>
    <row r="608" spans="1:13" x14ac:dyDescent="0.3">
      <c r="A608" s="49" t="s">
        <v>221</v>
      </c>
      <c r="B608" s="49" t="s">
        <v>79</v>
      </c>
      <c r="C608" s="50">
        <v>14146</v>
      </c>
      <c r="D608" s="51">
        <v>97543</v>
      </c>
      <c r="E608" s="52">
        <v>3031575684</v>
      </c>
      <c r="F608" s="43" t="s">
        <v>91</v>
      </c>
      <c r="G608" s="53">
        <v>83559</v>
      </c>
      <c r="H608" s="54" t="s">
        <v>70</v>
      </c>
      <c r="I608" s="54" t="s">
        <v>750</v>
      </c>
      <c r="J608" s="55" t="s">
        <v>72</v>
      </c>
      <c r="K608" s="54" t="s">
        <v>89</v>
      </c>
      <c r="L608" s="56">
        <f>35698+(6*364)</f>
        <v>37882</v>
      </c>
      <c r="M608" s="43">
        <f t="shared" ca="1" si="9"/>
        <v>22</v>
      </c>
    </row>
    <row r="609" spans="1:13" x14ac:dyDescent="0.3">
      <c r="A609" s="49" t="s">
        <v>238</v>
      </c>
      <c r="B609" s="49" t="s">
        <v>79</v>
      </c>
      <c r="C609" s="50">
        <v>73376</v>
      </c>
      <c r="D609" s="51">
        <v>95583</v>
      </c>
      <c r="E609" s="52">
        <v>3035057530</v>
      </c>
      <c r="F609" s="43"/>
      <c r="G609" s="53">
        <v>77915</v>
      </c>
      <c r="H609" s="54" t="s">
        <v>86</v>
      </c>
      <c r="I609" s="54" t="s">
        <v>577</v>
      </c>
      <c r="J609" s="55" t="s">
        <v>88</v>
      </c>
      <c r="K609" s="54" t="s">
        <v>89</v>
      </c>
      <c r="L609" s="56">
        <f>42194+(6*364)</f>
        <v>44378</v>
      </c>
      <c r="M609" s="43">
        <f t="shared" ca="1" si="9"/>
        <v>4</v>
      </c>
    </row>
    <row r="610" spans="1:13" x14ac:dyDescent="0.3">
      <c r="A610" s="49" t="s">
        <v>240</v>
      </c>
      <c r="B610" s="49" t="s">
        <v>79</v>
      </c>
      <c r="C610" s="50">
        <v>89297</v>
      </c>
      <c r="D610" s="51">
        <v>90295</v>
      </c>
      <c r="E610" s="52">
        <v>3034629606</v>
      </c>
      <c r="F610" s="43" t="s">
        <v>98</v>
      </c>
      <c r="G610" s="53">
        <v>68858</v>
      </c>
      <c r="H610" s="54" t="s">
        <v>76</v>
      </c>
      <c r="I610" s="54" t="s">
        <v>737</v>
      </c>
      <c r="J610" s="55" t="s">
        <v>72</v>
      </c>
      <c r="K610" s="54" t="s">
        <v>79</v>
      </c>
      <c r="L610" s="56">
        <f>37390+(6*364)</f>
        <v>39574</v>
      </c>
      <c r="M610" s="43">
        <f t="shared" ca="1" si="9"/>
        <v>17</v>
      </c>
    </row>
    <row r="611" spans="1:13" x14ac:dyDescent="0.3">
      <c r="A611" s="49" t="s">
        <v>251</v>
      </c>
      <c r="B611" s="49" t="s">
        <v>79</v>
      </c>
      <c r="C611" s="50">
        <v>75251</v>
      </c>
      <c r="D611" s="51">
        <v>74359</v>
      </c>
      <c r="E611" s="52">
        <v>3035220001</v>
      </c>
      <c r="F611" s="43"/>
      <c r="G611" s="53">
        <v>77750</v>
      </c>
      <c r="H611" s="54" t="s">
        <v>86</v>
      </c>
      <c r="I611" s="54" t="s">
        <v>579</v>
      </c>
      <c r="J611" s="55" t="s">
        <v>88</v>
      </c>
      <c r="K611" s="54" t="s">
        <v>93</v>
      </c>
      <c r="L611" s="56">
        <f>38597+(6*364)</f>
        <v>40781</v>
      </c>
      <c r="M611" s="43">
        <f t="shared" ca="1" si="9"/>
        <v>14</v>
      </c>
    </row>
    <row r="612" spans="1:13" x14ac:dyDescent="0.3">
      <c r="A612" s="49" t="s">
        <v>257</v>
      </c>
      <c r="B612" s="49" t="s">
        <v>79</v>
      </c>
      <c r="C612" s="50">
        <v>92772</v>
      </c>
      <c r="D612" s="51">
        <v>92664</v>
      </c>
      <c r="E612" s="52">
        <v>5056711140</v>
      </c>
      <c r="F612" s="43" t="s">
        <v>98</v>
      </c>
      <c r="G612" s="53">
        <v>87937</v>
      </c>
      <c r="H612" s="54" t="s">
        <v>70</v>
      </c>
      <c r="I612" s="54" t="s">
        <v>786</v>
      </c>
      <c r="J612" s="55" t="s">
        <v>72</v>
      </c>
      <c r="K612" s="54" t="s">
        <v>106</v>
      </c>
      <c r="L612" s="56">
        <f>37493+(6*364)</f>
        <v>39677</v>
      </c>
      <c r="M612" s="43">
        <f t="shared" ca="1" si="9"/>
        <v>17</v>
      </c>
    </row>
    <row r="613" spans="1:13" x14ac:dyDescent="0.3">
      <c r="A613" s="49" t="s">
        <v>273</v>
      </c>
      <c r="B613" s="49" t="s">
        <v>79</v>
      </c>
      <c r="C613" s="50">
        <v>80674</v>
      </c>
      <c r="D613" s="51">
        <v>97980</v>
      </c>
      <c r="E613" s="52">
        <v>5056306545</v>
      </c>
      <c r="F613" s="43"/>
      <c r="G613" s="53">
        <v>48315</v>
      </c>
      <c r="H613" s="54" t="s">
        <v>86</v>
      </c>
      <c r="I613" s="54" t="s">
        <v>126</v>
      </c>
      <c r="J613" s="55" t="s">
        <v>153</v>
      </c>
      <c r="K613" s="54" t="s">
        <v>84</v>
      </c>
      <c r="L613" s="56">
        <f>39065+(6*364)</f>
        <v>41249</v>
      </c>
      <c r="M613" s="43">
        <f t="shared" ca="1" si="9"/>
        <v>13</v>
      </c>
    </row>
    <row r="614" spans="1:13" x14ac:dyDescent="0.3">
      <c r="A614" s="49" t="s">
        <v>290</v>
      </c>
      <c r="B614" s="49" t="s">
        <v>79</v>
      </c>
      <c r="C614" s="50">
        <v>26552</v>
      </c>
      <c r="D614" s="51">
        <v>108923</v>
      </c>
      <c r="E614" s="52">
        <v>7195691314</v>
      </c>
      <c r="F614" s="43" t="s">
        <v>91</v>
      </c>
      <c r="G614" s="53">
        <v>57418</v>
      </c>
      <c r="H614" s="54" t="s">
        <v>76</v>
      </c>
      <c r="I614" s="54" t="s">
        <v>817</v>
      </c>
      <c r="J614" s="55" t="s">
        <v>100</v>
      </c>
      <c r="K614" s="54" t="s">
        <v>103</v>
      </c>
      <c r="L614" s="56">
        <f>36426+(6*364)</f>
        <v>38610</v>
      </c>
      <c r="M614" s="43">
        <f t="shared" ca="1" si="9"/>
        <v>20</v>
      </c>
    </row>
    <row r="615" spans="1:13" x14ac:dyDescent="0.3">
      <c r="A615" s="49" t="s">
        <v>295</v>
      </c>
      <c r="B615" s="49" t="s">
        <v>79</v>
      </c>
      <c r="C615" s="50">
        <v>38650</v>
      </c>
      <c r="D615" s="51">
        <v>71858</v>
      </c>
      <c r="E615" s="52">
        <v>5056657361</v>
      </c>
      <c r="F615" s="43" t="s">
        <v>98</v>
      </c>
      <c r="G615" s="53">
        <v>73590</v>
      </c>
      <c r="H615" s="54" t="s">
        <v>70</v>
      </c>
      <c r="I615" s="54" t="s">
        <v>695</v>
      </c>
      <c r="J615" s="55" t="s">
        <v>78</v>
      </c>
      <c r="K615" s="54" t="s">
        <v>172</v>
      </c>
      <c r="L615" s="56">
        <f>37375+(6*364)</f>
        <v>39559</v>
      </c>
      <c r="M615" s="43">
        <f t="shared" ca="1" si="9"/>
        <v>17</v>
      </c>
    </row>
    <row r="616" spans="1:13" x14ac:dyDescent="0.3">
      <c r="A616" s="49" t="s">
        <v>306</v>
      </c>
      <c r="B616" s="49" t="s">
        <v>79</v>
      </c>
      <c r="C616" s="50">
        <v>92867</v>
      </c>
      <c r="D616" s="51">
        <v>93191</v>
      </c>
      <c r="E616" s="52">
        <v>7192212512</v>
      </c>
      <c r="F616" s="43" t="s">
        <v>98</v>
      </c>
      <c r="G616" s="53">
        <v>112115</v>
      </c>
      <c r="H616" s="54" t="s">
        <v>76</v>
      </c>
      <c r="I616" s="54" t="s">
        <v>818</v>
      </c>
      <c r="J616" s="55" t="s">
        <v>72</v>
      </c>
      <c r="K616" s="54" t="s">
        <v>93</v>
      </c>
      <c r="L616" s="56">
        <f>38711+(6*364)</f>
        <v>40895</v>
      </c>
      <c r="M616" s="43">
        <f t="shared" ca="1" si="9"/>
        <v>13</v>
      </c>
    </row>
    <row r="617" spans="1:13" x14ac:dyDescent="0.3">
      <c r="A617" s="49" t="s">
        <v>322</v>
      </c>
      <c r="B617" s="49" t="s">
        <v>79</v>
      </c>
      <c r="C617" s="50">
        <v>98848</v>
      </c>
      <c r="D617" s="51">
        <v>108704</v>
      </c>
      <c r="E617" s="52">
        <v>9705610944</v>
      </c>
      <c r="F617" s="43"/>
      <c r="G617" s="53">
        <v>73785</v>
      </c>
      <c r="H617" s="54" t="s">
        <v>86</v>
      </c>
      <c r="I617" s="54" t="s">
        <v>24</v>
      </c>
      <c r="J617" s="55" t="s">
        <v>88</v>
      </c>
      <c r="K617" s="54" t="s">
        <v>189</v>
      </c>
      <c r="L617" s="56">
        <f>37373+(6*364)</f>
        <v>39557</v>
      </c>
      <c r="M617" s="43">
        <f t="shared" ca="1" si="9"/>
        <v>17</v>
      </c>
    </row>
    <row r="618" spans="1:13" x14ac:dyDescent="0.3">
      <c r="A618" s="49" t="s">
        <v>324</v>
      </c>
      <c r="B618" s="49" t="s">
        <v>79</v>
      </c>
      <c r="C618" s="50">
        <v>51767</v>
      </c>
      <c r="D618" s="51">
        <v>98721</v>
      </c>
      <c r="E618" s="52">
        <v>5053454032</v>
      </c>
      <c r="F618" s="43" t="s">
        <v>98</v>
      </c>
      <c r="G618" s="53">
        <v>87395</v>
      </c>
      <c r="H618" s="54" t="s">
        <v>70</v>
      </c>
      <c r="I618" s="54" t="s">
        <v>149</v>
      </c>
      <c r="J618" s="55" t="s">
        <v>153</v>
      </c>
      <c r="K618" s="54" t="s">
        <v>106</v>
      </c>
      <c r="L618" s="56">
        <f>41846+(6*364)</f>
        <v>44030</v>
      </c>
      <c r="M618" s="43">
        <f t="shared" ca="1" si="9"/>
        <v>5</v>
      </c>
    </row>
    <row r="619" spans="1:13" x14ac:dyDescent="0.3">
      <c r="A619" s="49" t="s">
        <v>337</v>
      </c>
      <c r="B619" s="49" t="s">
        <v>79</v>
      </c>
      <c r="C619" s="50">
        <v>40605</v>
      </c>
      <c r="D619" s="51">
        <v>74155</v>
      </c>
      <c r="E619" s="52">
        <v>3034479196</v>
      </c>
      <c r="F619" s="43" t="s">
        <v>91</v>
      </c>
      <c r="G619" s="53">
        <v>53654</v>
      </c>
      <c r="H619" s="54" t="s">
        <v>70</v>
      </c>
      <c r="I619" s="54" t="s">
        <v>151</v>
      </c>
      <c r="J619" s="55" t="s">
        <v>78</v>
      </c>
      <c r="K619" s="54" t="s">
        <v>84</v>
      </c>
      <c r="L619" s="56">
        <f>37780+(6*364)</f>
        <v>39964</v>
      </c>
      <c r="M619" s="43">
        <f t="shared" ca="1" si="9"/>
        <v>16</v>
      </c>
    </row>
    <row r="620" spans="1:13" x14ac:dyDescent="0.3">
      <c r="A620" s="49" t="s">
        <v>352</v>
      </c>
      <c r="B620" s="49" t="s">
        <v>79</v>
      </c>
      <c r="C620" s="50">
        <v>56032</v>
      </c>
      <c r="D620" s="51">
        <v>45173</v>
      </c>
      <c r="E620" s="52">
        <v>9704075460</v>
      </c>
      <c r="F620" s="43" t="s">
        <v>69</v>
      </c>
      <c r="G620" s="53">
        <v>40652</v>
      </c>
      <c r="H620" s="54" t="s">
        <v>70</v>
      </c>
      <c r="I620" s="54" t="s">
        <v>787</v>
      </c>
      <c r="J620" s="55" t="s">
        <v>100</v>
      </c>
      <c r="K620" s="54" t="s">
        <v>89</v>
      </c>
      <c r="L620" s="56">
        <f>36709+(6*364)</f>
        <v>38893</v>
      </c>
      <c r="M620" s="43">
        <f t="shared" ca="1" si="9"/>
        <v>19</v>
      </c>
    </row>
    <row r="621" spans="1:13" x14ac:dyDescent="0.3">
      <c r="A621" s="49" t="s">
        <v>357</v>
      </c>
      <c r="B621" s="49" t="s">
        <v>79</v>
      </c>
      <c r="C621" s="50">
        <v>12762</v>
      </c>
      <c r="D621" s="51">
        <v>62143</v>
      </c>
      <c r="E621" s="52">
        <v>9706097340</v>
      </c>
      <c r="F621" s="43" t="s">
        <v>69</v>
      </c>
      <c r="G621" s="53">
        <v>109746</v>
      </c>
      <c r="H621" s="54" t="s">
        <v>70</v>
      </c>
      <c r="I621" s="54" t="s">
        <v>819</v>
      </c>
      <c r="J621" s="55" t="s">
        <v>78</v>
      </c>
      <c r="K621" s="54" t="s">
        <v>158</v>
      </c>
      <c r="L621" s="56">
        <f>37074+(6*364)</f>
        <v>39258</v>
      </c>
      <c r="M621" s="43">
        <f t="shared" ca="1" si="9"/>
        <v>18</v>
      </c>
    </row>
    <row r="622" spans="1:13" x14ac:dyDescent="0.3">
      <c r="A622" s="49" t="s">
        <v>360</v>
      </c>
      <c r="B622" s="49" t="s">
        <v>79</v>
      </c>
      <c r="C622" s="50">
        <v>81666</v>
      </c>
      <c r="D622" s="51">
        <v>116563</v>
      </c>
      <c r="E622" s="52">
        <v>9706674988</v>
      </c>
      <c r="F622" s="43"/>
      <c r="G622" s="53">
        <v>75337</v>
      </c>
      <c r="H622" s="54" t="s">
        <v>86</v>
      </c>
      <c r="I622" s="54" t="s">
        <v>402</v>
      </c>
      <c r="J622" s="55" t="s">
        <v>100</v>
      </c>
      <c r="K622" s="54" t="s">
        <v>89</v>
      </c>
      <c r="L622" s="56">
        <f>36407+(6*364)</f>
        <v>38591</v>
      </c>
      <c r="M622" s="43">
        <f t="shared" ca="1" si="9"/>
        <v>20</v>
      </c>
    </row>
    <row r="623" spans="1:13" x14ac:dyDescent="0.3">
      <c r="A623" s="49" t="s">
        <v>364</v>
      </c>
      <c r="B623" s="49" t="s">
        <v>79</v>
      </c>
      <c r="C623" s="50">
        <v>17772</v>
      </c>
      <c r="D623" s="51">
        <v>120987</v>
      </c>
      <c r="E623" s="52">
        <v>9706756847</v>
      </c>
      <c r="F623" s="43" t="s">
        <v>69</v>
      </c>
      <c r="G623" s="53">
        <v>74113</v>
      </c>
      <c r="H623" s="54" t="s">
        <v>76</v>
      </c>
      <c r="I623" s="54" t="s">
        <v>820</v>
      </c>
      <c r="J623" s="55" t="s">
        <v>88</v>
      </c>
      <c r="K623" s="54" t="s">
        <v>106</v>
      </c>
      <c r="L623" s="56">
        <f>39100+(6*364)</f>
        <v>41284</v>
      </c>
      <c r="M623" s="43">
        <f t="shared" ca="1" si="9"/>
        <v>12</v>
      </c>
    </row>
    <row r="624" spans="1:13" x14ac:dyDescent="0.3">
      <c r="A624" s="49" t="s">
        <v>399</v>
      </c>
      <c r="B624" s="49" t="s">
        <v>79</v>
      </c>
      <c r="C624" s="50">
        <v>54727</v>
      </c>
      <c r="D624" s="51">
        <v>26169</v>
      </c>
      <c r="E624" s="52">
        <v>9704078104</v>
      </c>
      <c r="F624" s="43" t="s">
        <v>98</v>
      </c>
      <c r="G624" s="53">
        <v>80345</v>
      </c>
      <c r="H624" s="54" t="s">
        <v>70</v>
      </c>
      <c r="I624" s="54" t="s">
        <v>582</v>
      </c>
      <c r="J624" s="55" t="s">
        <v>88</v>
      </c>
      <c r="K624" s="54" t="s">
        <v>89</v>
      </c>
      <c r="L624" s="56">
        <f>39255+(6*364)</f>
        <v>41439</v>
      </c>
      <c r="M624" s="43">
        <f t="shared" ca="1" si="9"/>
        <v>12</v>
      </c>
    </row>
    <row r="625" spans="1:13" x14ac:dyDescent="0.3">
      <c r="A625" s="49" t="s">
        <v>412</v>
      </c>
      <c r="B625" s="49" t="s">
        <v>79</v>
      </c>
      <c r="C625" s="50">
        <v>35123</v>
      </c>
      <c r="D625" s="51">
        <v>78719</v>
      </c>
      <c r="E625" s="52">
        <v>5057909707</v>
      </c>
      <c r="F625" s="43" t="s">
        <v>75</v>
      </c>
      <c r="G625" s="53">
        <v>115337</v>
      </c>
      <c r="H625" s="54" t="s">
        <v>70</v>
      </c>
      <c r="I625" s="54" t="s">
        <v>338</v>
      </c>
      <c r="J625" s="55" t="s">
        <v>72</v>
      </c>
      <c r="K625" s="54" t="s">
        <v>172</v>
      </c>
      <c r="L625" s="56">
        <f>41669+(6*364)</f>
        <v>43853</v>
      </c>
      <c r="M625" s="43">
        <f t="shared" ca="1" si="9"/>
        <v>5</v>
      </c>
    </row>
    <row r="626" spans="1:13" x14ac:dyDescent="0.3">
      <c r="A626" s="49" t="s">
        <v>423</v>
      </c>
      <c r="B626" s="49" t="s">
        <v>79</v>
      </c>
      <c r="C626" s="50">
        <v>78166</v>
      </c>
      <c r="D626" s="51">
        <v>78582</v>
      </c>
      <c r="E626" s="52">
        <v>9701376854</v>
      </c>
      <c r="F626" s="43" t="s">
        <v>81</v>
      </c>
      <c r="G626" s="53">
        <v>51515</v>
      </c>
      <c r="H626" s="54" t="s">
        <v>76</v>
      </c>
      <c r="I626" s="54" t="s">
        <v>340</v>
      </c>
      <c r="J626" s="55" t="s">
        <v>88</v>
      </c>
      <c r="K626" s="54" t="s">
        <v>73</v>
      </c>
      <c r="L626" s="56">
        <f>41692+(6*364)</f>
        <v>43876</v>
      </c>
      <c r="M626" s="43">
        <f t="shared" ca="1" si="9"/>
        <v>5</v>
      </c>
    </row>
    <row r="627" spans="1:13" x14ac:dyDescent="0.3">
      <c r="A627" s="49" t="s">
        <v>427</v>
      </c>
      <c r="B627" s="49" t="s">
        <v>79</v>
      </c>
      <c r="C627" s="50">
        <v>41415</v>
      </c>
      <c r="D627" s="51">
        <v>133546</v>
      </c>
      <c r="E627" s="52">
        <v>7191657646</v>
      </c>
      <c r="F627" s="43" t="s">
        <v>98</v>
      </c>
      <c r="G627" s="53">
        <v>87706</v>
      </c>
      <c r="H627" s="54" t="s">
        <v>70</v>
      </c>
      <c r="I627" s="54" t="s">
        <v>584</v>
      </c>
      <c r="J627" s="55" t="s">
        <v>100</v>
      </c>
      <c r="K627" s="54" t="s">
        <v>172</v>
      </c>
      <c r="L627" s="56">
        <f>39006+(6*364)</f>
        <v>41190</v>
      </c>
      <c r="M627" s="43">
        <f t="shared" ca="1" si="9"/>
        <v>13</v>
      </c>
    </row>
    <row r="628" spans="1:13" x14ac:dyDescent="0.3">
      <c r="A628" s="49" t="s">
        <v>839</v>
      </c>
      <c r="B628" s="49" t="s">
        <v>79</v>
      </c>
      <c r="C628" s="50">
        <v>35088</v>
      </c>
      <c r="D628" s="51">
        <v>114089</v>
      </c>
      <c r="E628" s="52">
        <v>3031780498</v>
      </c>
      <c r="F628" s="43" t="s">
        <v>91</v>
      </c>
      <c r="G628" s="53">
        <v>73482</v>
      </c>
      <c r="H628" s="54" t="s">
        <v>70</v>
      </c>
      <c r="I628" s="54" t="s">
        <v>586</v>
      </c>
      <c r="J628" s="55" t="s">
        <v>72</v>
      </c>
      <c r="K628" s="54" t="s">
        <v>73</v>
      </c>
      <c r="L628" s="56">
        <f>37177+(6*364)</f>
        <v>39361</v>
      </c>
      <c r="M628" s="43">
        <f t="shared" ca="1" si="9"/>
        <v>18</v>
      </c>
    </row>
    <row r="629" spans="1:13" x14ac:dyDescent="0.3">
      <c r="A629" s="49" t="s">
        <v>429</v>
      </c>
      <c r="B629" s="49" t="s">
        <v>79</v>
      </c>
      <c r="C629" s="50">
        <v>60552</v>
      </c>
      <c r="D629" s="51">
        <v>72257</v>
      </c>
      <c r="E629" s="52">
        <v>7197600603</v>
      </c>
      <c r="F629" s="43" t="s">
        <v>81</v>
      </c>
      <c r="G629" s="53">
        <v>94749</v>
      </c>
      <c r="H629" s="54" t="s">
        <v>70</v>
      </c>
      <c r="I629" s="54" t="s">
        <v>675</v>
      </c>
      <c r="J629" s="55" t="s">
        <v>88</v>
      </c>
      <c r="K629" s="54" t="s">
        <v>84</v>
      </c>
      <c r="L629" s="56">
        <f>37700+(6*364)</f>
        <v>39884</v>
      </c>
      <c r="M629" s="43">
        <f t="shared" ca="1" si="9"/>
        <v>16</v>
      </c>
    </row>
    <row r="630" spans="1:13" x14ac:dyDescent="0.3">
      <c r="A630" s="49" t="s">
        <v>447</v>
      </c>
      <c r="B630" s="49" t="s">
        <v>79</v>
      </c>
      <c r="C630" s="50">
        <v>27874</v>
      </c>
      <c r="D630" s="51">
        <v>107773</v>
      </c>
      <c r="E630" s="52">
        <v>5052387348</v>
      </c>
      <c r="F630" s="43" t="s">
        <v>91</v>
      </c>
      <c r="G630" s="53">
        <v>119985</v>
      </c>
      <c r="H630" s="54" t="s">
        <v>70</v>
      </c>
      <c r="I630" s="54" t="s">
        <v>588</v>
      </c>
      <c r="J630" s="55" t="s">
        <v>78</v>
      </c>
      <c r="K630" s="54" t="s">
        <v>93</v>
      </c>
      <c r="L630" s="56">
        <f>42345+(6*364)</f>
        <v>44529</v>
      </c>
      <c r="M630" s="43">
        <f t="shared" ca="1" si="9"/>
        <v>4</v>
      </c>
    </row>
    <row r="631" spans="1:13" x14ac:dyDescent="0.3">
      <c r="A631" s="49" t="s">
        <v>449</v>
      </c>
      <c r="B631" s="49" t="s">
        <v>79</v>
      </c>
      <c r="C631" s="50">
        <v>53609</v>
      </c>
      <c r="D631" s="51">
        <v>100136</v>
      </c>
      <c r="E631" s="52">
        <v>5051682521</v>
      </c>
      <c r="F631" s="43" t="s">
        <v>98</v>
      </c>
      <c r="G631" s="53">
        <v>76557</v>
      </c>
      <c r="H631" s="54" t="s">
        <v>70</v>
      </c>
      <c r="I631" s="54" t="s">
        <v>590</v>
      </c>
      <c r="J631" s="55" t="s">
        <v>72</v>
      </c>
      <c r="K631" s="54" t="s">
        <v>158</v>
      </c>
      <c r="L631" s="56">
        <f>38193+(6*364)</f>
        <v>40377</v>
      </c>
      <c r="M631" s="43">
        <f t="shared" ca="1" si="9"/>
        <v>15</v>
      </c>
    </row>
    <row r="632" spans="1:13" x14ac:dyDescent="0.3">
      <c r="A632" s="49" t="s">
        <v>450</v>
      </c>
      <c r="B632" s="49" t="s">
        <v>79</v>
      </c>
      <c r="C632" s="50">
        <v>85638</v>
      </c>
      <c r="D632" s="51">
        <v>60471</v>
      </c>
      <c r="E632" s="52">
        <v>7197226463</v>
      </c>
      <c r="F632" s="43" t="s">
        <v>98</v>
      </c>
      <c r="G632" s="53">
        <v>47360</v>
      </c>
      <c r="H632" s="54" t="s">
        <v>70</v>
      </c>
      <c r="I632" s="54" t="s">
        <v>738</v>
      </c>
      <c r="J632" s="55" t="s">
        <v>72</v>
      </c>
      <c r="K632" s="54" t="s">
        <v>93</v>
      </c>
      <c r="L632" s="56">
        <f>39450+(6*364)</f>
        <v>41634</v>
      </c>
      <c r="M632" s="43">
        <f t="shared" ca="1" si="9"/>
        <v>11</v>
      </c>
    </row>
    <row r="633" spans="1:13" x14ac:dyDescent="0.3">
      <c r="A633" s="49" t="s">
        <v>455</v>
      </c>
      <c r="B633" s="49" t="s">
        <v>79</v>
      </c>
      <c r="C633" s="50">
        <v>41617</v>
      </c>
      <c r="D633" s="51">
        <v>51862</v>
      </c>
      <c r="E633" s="52">
        <v>7196166452</v>
      </c>
      <c r="F633" s="43" t="s">
        <v>75</v>
      </c>
      <c r="G633" s="53">
        <v>86167</v>
      </c>
      <c r="H633" s="54" t="s">
        <v>76</v>
      </c>
      <c r="I633" s="54" t="s">
        <v>677</v>
      </c>
      <c r="J633" s="55" t="s">
        <v>72</v>
      </c>
      <c r="K633" s="54" t="s">
        <v>146</v>
      </c>
      <c r="L633" s="56">
        <f>35665+(6*364)</f>
        <v>37849</v>
      </c>
      <c r="M633" s="43">
        <f t="shared" ca="1" si="9"/>
        <v>22</v>
      </c>
    </row>
    <row r="634" spans="1:13" x14ac:dyDescent="0.3">
      <c r="A634" s="49" t="s">
        <v>464</v>
      </c>
      <c r="B634" s="49" t="s">
        <v>79</v>
      </c>
      <c r="C634" s="50">
        <v>47326</v>
      </c>
      <c r="D634" s="51">
        <v>100890</v>
      </c>
      <c r="E634" s="52">
        <v>3034111882</v>
      </c>
      <c r="F634" s="43"/>
      <c r="G634" s="53">
        <v>73889</v>
      </c>
      <c r="H634" s="54" t="s">
        <v>86</v>
      </c>
      <c r="I634" s="54" t="s">
        <v>821</v>
      </c>
      <c r="J634" s="55" t="s">
        <v>72</v>
      </c>
      <c r="K634" s="54" t="s">
        <v>84</v>
      </c>
      <c r="L634" s="56">
        <f>35991+(6*364)</f>
        <v>38175</v>
      </c>
      <c r="M634" s="43">
        <f t="shared" ca="1" si="9"/>
        <v>21</v>
      </c>
    </row>
    <row r="635" spans="1:13" x14ac:dyDescent="0.3">
      <c r="A635" s="49" t="s">
        <v>491</v>
      </c>
      <c r="B635" s="49" t="s">
        <v>79</v>
      </c>
      <c r="C635" s="50">
        <v>51437</v>
      </c>
      <c r="D635" s="51">
        <v>74979</v>
      </c>
      <c r="E635" s="52">
        <v>3037172882</v>
      </c>
      <c r="F635" s="43"/>
      <c r="G635" s="53">
        <v>31247</v>
      </c>
      <c r="H635" s="54" t="s">
        <v>86</v>
      </c>
      <c r="I635" s="54" t="s">
        <v>592</v>
      </c>
      <c r="J635" s="55" t="s">
        <v>72</v>
      </c>
      <c r="K635" s="54" t="s">
        <v>106</v>
      </c>
      <c r="L635" s="56">
        <f>37179+(6*364)</f>
        <v>39363</v>
      </c>
      <c r="M635" s="43">
        <f t="shared" ca="1" si="9"/>
        <v>18</v>
      </c>
    </row>
    <row r="636" spans="1:13" x14ac:dyDescent="0.3">
      <c r="A636" s="49" t="s">
        <v>841</v>
      </c>
      <c r="B636" s="49" t="s">
        <v>79</v>
      </c>
      <c r="C636" s="50">
        <v>57921</v>
      </c>
      <c r="D636" s="51">
        <v>75331</v>
      </c>
      <c r="E636" s="52">
        <v>5058400261</v>
      </c>
      <c r="F636" s="43" t="s">
        <v>91</v>
      </c>
      <c r="G636" s="53">
        <v>57992</v>
      </c>
      <c r="H636" s="54" t="s">
        <v>70</v>
      </c>
      <c r="I636" s="54" t="s">
        <v>594</v>
      </c>
      <c r="J636" s="55" t="s">
        <v>83</v>
      </c>
      <c r="K636" s="54" t="s">
        <v>79</v>
      </c>
      <c r="L636" s="56">
        <f>39065+(6*364)</f>
        <v>41249</v>
      </c>
      <c r="M636" s="43">
        <f t="shared" ca="1" si="9"/>
        <v>13</v>
      </c>
    </row>
    <row r="637" spans="1:13" x14ac:dyDescent="0.3">
      <c r="A637" s="49" t="s">
        <v>496</v>
      </c>
      <c r="B637" s="49" t="s">
        <v>79</v>
      </c>
      <c r="C637" s="50">
        <v>77791</v>
      </c>
      <c r="D637" s="51">
        <v>91560</v>
      </c>
      <c r="E637" s="52">
        <v>3037919826</v>
      </c>
      <c r="F637" s="43" t="s">
        <v>69</v>
      </c>
      <c r="G637" s="53">
        <v>53348</v>
      </c>
      <c r="H637" s="54" t="s">
        <v>70</v>
      </c>
      <c r="I637" s="54" t="s">
        <v>404</v>
      </c>
      <c r="J637" s="55" t="s">
        <v>83</v>
      </c>
      <c r="K637" s="54" t="s">
        <v>84</v>
      </c>
      <c r="L637" s="56">
        <f>35978+(6*364)</f>
        <v>38162</v>
      </c>
      <c r="M637" s="43">
        <f t="shared" ca="1" si="9"/>
        <v>21</v>
      </c>
    </row>
    <row r="638" spans="1:13" x14ac:dyDescent="0.3">
      <c r="A638" s="49" t="s">
        <v>530</v>
      </c>
      <c r="B638" s="49" t="s">
        <v>79</v>
      </c>
      <c r="C638" s="50">
        <v>97663</v>
      </c>
      <c r="D638" s="51">
        <v>67403</v>
      </c>
      <c r="E638" s="52">
        <v>5055998691</v>
      </c>
      <c r="F638" s="43"/>
      <c r="G638" s="53">
        <v>69116</v>
      </c>
      <c r="H638" s="54" t="s">
        <v>86</v>
      </c>
      <c r="I638" s="54" t="s">
        <v>788</v>
      </c>
      <c r="J638" s="55" t="s">
        <v>83</v>
      </c>
      <c r="K638" s="54" t="s">
        <v>172</v>
      </c>
      <c r="L638" s="56">
        <f>39549+(6*364)</f>
        <v>41733</v>
      </c>
      <c r="M638" s="43">
        <f t="shared" ca="1" si="9"/>
        <v>11</v>
      </c>
    </row>
    <row r="639" spans="1:13" x14ac:dyDescent="0.3">
      <c r="A639" s="49" t="s">
        <v>562</v>
      </c>
      <c r="B639" s="49" t="s">
        <v>79</v>
      </c>
      <c r="C639" s="50">
        <v>53181</v>
      </c>
      <c r="D639" s="51">
        <v>62070</v>
      </c>
      <c r="E639" s="52">
        <v>3035157707</v>
      </c>
      <c r="F639" s="43" t="s">
        <v>98</v>
      </c>
      <c r="G639" s="53">
        <v>89000</v>
      </c>
      <c r="H639" s="54" t="s">
        <v>70</v>
      </c>
      <c r="I639" s="54" t="s">
        <v>129</v>
      </c>
      <c r="J639" s="55" t="s">
        <v>83</v>
      </c>
      <c r="K639" s="54" t="s">
        <v>106</v>
      </c>
      <c r="L639" s="56">
        <f>36920+(6*364)</f>
        <v>39104</v>
      </c>
      <c r="M639" s="43">
        <f t="shared" ca="1" si="9"/>
        <v>18</v>
      </c>
    </row>
    <row r="640" spans="1:13" x14ac:dyDescent="0.3">
      <c r="A640" s="49" t="s">
        <v>572</v>
      </c>
      <c r="B640" s="49" t="s">
        <v>79</v>
      </c>
      <c r="C640" s="50">
        <v>90005</v>
      </c>
      <c r="D640" s="51">
        <v>70832</v>
      </c>
      <c r="E640" s="52">
        <v>5056650531</v>
      </c>
      <c r="F640" s="43" t="s">
        <v>98</v>
      </c>
      <c r="G640" s="53">
        <v>74278</v>
      </c>
      <c r="H640" s="54" t="s">
        <v>76</v>
      </c>
      <c r="I640" s="54" t="s">
        <v>833</v>
      </c>
      <c r="J640" s="55" t="s">
        <v>100</v>
      </c>
      <c r="K640" s="54" t="s">
        <v>204</v>
      </c>
      <c r="L640" s="56">
        <f>35210+(6*364)</f>
        <v>37394</v>
      </c>
      <c r="M640" s="43">
        <f t="shared" ca="1" si="9"/>
        <v>23</v>
      </c>
    </row>
    <row r="641" spans="1:13" x14ac:dyDescent="0.3">
      <c r="A641" s="49" t="s">
        <v>583</v>
      </c>
      <c r="B641" s="49" t="s">
        <v>79</v>
      </c>
      <c r="C641" s="50">
        <v>71227</v>
      </c>
      <c r="D641" s="51">
        <v>134435</v>
      </c>
      <c r="E641" s="52">
        <v>9705089157</v>
      </c>
      <c r="F641" s="43" t="s">
        <v>91</v>
      </c>
      <c r="G641" s="53">
        <v>127835</v>
      </c>
      <c r="H641" s="54" t="s">
        <v>70</v>
      </c>
      <c r="I641" s="54" t="s">
        <v>822</v>
      </c>
      <c r="J641" s="55" t="s">
        <v>72</v>
      </c>
      <c r="K641" s="54" t="s">
        <v>172</v>
      </c>
      <c r="L641" s="56">
        <f>38236+(6*364)</f>
        <v>40420</v>
      </c>
      <c r="M641" s="43">
        <f t="shared" ca="1" si="9"/>
        <v>15</v>
      </c>
    </row>
    <row r="642" spans="1:13" x14ac:dyDescent="0.3">
      <c r="A642" s="49" t="s">
        <v>585</v>
      </c>
      <c r="B642" s="49" t="s">
        <v>79</v>
      </c>
      <c r="C642" s="50">
        <v>46015</v>
      </c>
      <c r="D642" s="51">
        <v>60878</v>
      </c>
      <c r="E642" s="52">
        <v>9704694995</v>
      </c>
      <c r="F642" s="43" t="s">
        <v>69</v>
      </c>
      <c r="G642" s="53">
        <v>118731</v>
      </c>
      <c r="H642" s="54" t="s">
        <v>70</v>
      </c>
      <c r="I642" s="54" t="s">
        <v>264</v>
      </c>
      <c r="J642" s="55" t="s">
        <v>88</v>
      </c>
      <c r="K642" s="54" t="s">
        <v>103</v>
      </c>
      <c r="L642" s="56">
        <f>36035+(6*364)</f>
        <v>38219</v>
      </c>
      <c r="M642" s="43">
        <f t="shared" ref="M642:M699" ca="1" si="10">DATEDIF(L642,TODAY(),"Y")</f>
        <v>21</v>
      </c>
    </row>
    <row r="643" spans="1:13" x14ac:dyDescent="0.3">
      <c r="A643" s="49" t="s">
        <v>593</v>
      </c>
      <c r="B643" s="49" t="s">
        <v>79</v>
      </c>
      <c r="C643" s="50">
        <v>60745</v>
      </c>
      <c r="D643" s="51">
        <v>61422</v>
      </c>
      <c r="E643" s="52">
        <v>3038652588</v>
      </c>
      <c r="F643" s="43" t="s">
        <v>91</v>
      </c>
      <c r="G643" s="53">
        <v>60450</v>
      </c>
      <c r="H643" s="54" t="s">
        <v>70</v>
      </c>
      <c r="I643" s="54" t="s">
        <v>266</v>
      </c>
      <c r="J643" s="55" t="s">
        <v>88</v>
      </c>
      <c r="K643" s="54" t="s">
        <v>89</v>
      </c>
      <c r="L643" s="56">
        <f>41469+(6*364)</f>
        <v>43653</v>
      </c>
      <c r="M643" s="43">
        <f t="shared" ca="1" si="10"/>
        <v>6</v>
      </c>
    </row>
    <row r="644" spans="1:13" x14ac:dyDescent="0.3">
      <c r="A644" s="49" t="s">
        <v>601</v>
      </c>
      <c r="B644" s="49" t="s">
        <v>79</v>
      </c>
      <c r="C644" s="50">
        <v>74123</v>
      </c>
      <c r="D644" s="51">
        <v>31539</v>
      </c>
      <c r="E644" s="52">
        <v>3035228292</v>
      </c>
      <c r="F644" s="43" t="s">
        <v>98</v>
      </c>
      <c r="G644" s="53">
        <v>65825</v>
      </c>
      <c r="H644" s="54" t="s">
        <v>70</v>
      </c>
      <c r="I644" s="54" t="s">
        <v>696</v>
      </c>
      <c r="J644" s="55" t="s">
        <v>88</v>
      </c>
      <c r="K644" s="54" t="s">
        <v>79</v>
      </c>
      <c r="L644" s="56">
        <f>37288+(6*364)</f>
        <v>39472</v>
      </c>
      <c r="M644" s="43">
        <f t="shared" ca="1" si="10"/>
        <v>17</v>
      </c>
    </row>
    <row r="645" spans="1:13" x14ac:dyDescent="0.3">
      <c r="A645" s="49" t="s">
        <v>647</v>
      </c>
      <c r="B645" s="49" t="s">
        <v>79</v>
      </c>
      <c r="C645" s="50">
        <v>92622</v>
      </c>
      <c r="D645" s="51">
        <v>77066</v>
      </c>
      <c r="E645" s="52">
        <v>3033679666</v>
      </c>
      <c r="F645" s="43" t="s">
        <v>81</v>
      </c>
      <c r="G645" s="53">
        <v>50312</v>
      </c>
      <c r="H645" s="54" t="s">
        <v>70</v>
      </c>
      <c r="I645" s="54" t="s">
        <v>834</v>
      </c>
      <c r="J645" s="55" t="s">
        <v>78</v>
      </c>
      <c r="K645" s="54" t="s">
        <v>93</v>
      </c>
      <c r="L645" s="56">
        <f>35091+(6*364)</f>
        <v>37275</v>
      </c>
      <c r="M645" s="43">
        <f t="shared" ca="1" si="10"/>
        <v>23</v>
      </c>
    </row>
    <row r="646" spans="1:13" x14ac:dyDescent="0.3">
      <c r="A646" s="49" t="s">
        <v>654</v>
      </c>
      <c r="B646" s="49" t="s">
        <v>79</v>
      </c>
      <c r="C646" s="50">
        <v>87720</v>
      </c>
      <c r="D646" s="51">
        <v>91387</v>
      </c>
      <c r="E646" s="52">
        <v>3032456406</v>
      </c>
      <c r="F646" s="43"/>
      <c r="G646" s="53">
        <v>84016</v>
      </c>
      <c r="H646" s="54" t="s">
        <v>86</v>
      </c>
      <c r="I646" s="54" t="s">
        <v>835</v>
      </c>
      <c r="J646" s="55" t="s">
        <v>88</v>
      </c>
      <c r="K646" s="54" t="s">
        <v>204</v>
      </c>
      <c r="L646" s="56">
        <f>35460+(6*364)</f>
        <v>37644</v>
      </c>
      <c r="M646" s="43">
        <f t="shared" ca="1" si="10"/>
        <v>22</v>
      </c>
    </row>
    <row r="647" spans="1:13" x14ac:dyDescent="0.3">
      <c r="A647" s="49" t="s">
        <v>667</v>
      </c>
      <c r="B647" s="49" t="s">
        <v>79</v>
      </c>
      <c r="C647" s="50">
        <v>79793</v>
      </c>
      <c r="D647" s="51">
        <v>119663</v>
      </c>
      <c r="E647" s="52">
        <v>5054618773</v>
      </c>
      <c r="F647" s="43" t="s">
        <v>98</v>
      </c>
      <c r="G647" s="53">
        <v>62765</v>
      </c>
      <c r="H647" s="54" t="s">
        <v>70</v>
      </c>
      <c r="I647" s="54" t="s">
        <v>595</v>
      </c>
      <c r="J647" s="55" t="s">
        <v>100</v>
      </c>
      <c r="K647" s="54" t="s">
        <v>73</v>
      </c>
      <c r="L647" s="56">
        <f>38006+(6*364)</f>
        <v>40190</v>
      </c>
      <c r="M647" s="43">
        <f t="shared" ca="1" si="10"/>
        <v>15</v>
      </c>
    </row>
    <row r="648" spans="1:13" x14ac:dyDescent="0.3">
      <c r="A648" s="49" t="s">
        <v>670</v>
      </c>
      <c r="B648" s="49" t="s">
        <v>79</v>
      </c>
      <c r="C648" s="50">
        <v>96042</v>
      </c>
      <c r="D648" s="51">
        <v>96625</v>
      </c>
      <c r="E648" s="52">
        <v>5051797370</v>
      </c>
      <c r="F648" s="43" t="s">
        <v>69</v>
      </c>
      <c r="G648" s="53">
        <v>98206</v>
      </c>
      <c r="H648" s="54" t="s">
        <v>70</v>
      </c>
      <c r="I648" s="54" t="s">
        <v>596</v>
      </c>
      <c r="J648" s="55" t="s">
        <v>72</v>
      </c>
      <c r="K648" s="54" t="s">
        <v>79</v>
      </c>
      <c r="L648" s="56">
        <f>35898+(6*364)</f>
        <v>38082</v>
      </c>
      <c r="M648" s="43">
        <f t="shared" ca="1" si="10"/>
        <v>21</v>
      </c>
    </row>
    <row r="649" spans="1:13" x14ac:dyDescent="0.3">
      <c r="A649" s="49" t="s">
        <v>676</v>
      </c>
      <c r="B649" s="49" t="s">
        <v>79</v>
      </c>
      <c r="C649" s="50">
        <v>51646</v>
      </c>
      <c r="D649" s="51">
        <v>44933</v>
      </c>
      <c r="E649" s="52">
        <v>7192094386</v>
      </c>
      <c r="F649" s="43"/>
      <c r="G649" s="53">
        <v>33496</v>
      </c>
      <c r="H649" s="54" t="s">
        <v>86</v>
      </c>
      <c r="I649" s="54" t="s">
        <v>697</v>
      </c>
      <c r="J649" s="55" t="s">
        <v>153</v>
      </c>
      <c r="K649" s="54" t="s">
        <v>172</v>
      </c>
      <c r="L649" s="56">
        <f>39717+(6*364)</f>
        <v>41901</v>
      </c>
      <c r="M649" s="43">
        <f t="shared" ca="1" si="10"/>
        <v>11</v>
      </c>
    </row>
    <row r="650" spans="1:13" x14ac:dyDescent="0.3">
      <c r="A650" s="49" t="s">
        <v>698</v>
      </c>
      <c r="B650" s="49" t="s">
        <v>79</v>
      </c>
      <c r="C650" s="50">
        <v>85001</v>
      </c>
      <c r="D650" s="51">
        <v>72679</v>
      </c>
      <c r="E650" s="52">
        <v>7198443818</v>
      </c>
      <c r="F650" s="43" t="s">
        <v>91</v>
      </c>
      <c r="G650" s="53">
        <v>114456</v>
      </c>
      <c r="H650" s="54" t="s">
        <v>70</v>
      </c>
      <c r="I650" s="54" t="s">
        <v>823</v>
      </c>
      <c r="J650" s="55" t="s">
        <v>72</v>
      </c>
      <c r="K650" s="54" t="s">
        <v>93</v>
      </c>
      <c r="L650" s="56">
        <f>36582+(6*364)</f>
        <v>38766</v>
      </c>
      <c r="M650" s="43">
        <f t="shared" ca="1" si="10"/>
        <v>19</v>
      </c>
    </row>
    <row r="651" spans="1:13" x14ac:dyDescent="0.3">
      <c r="A651" s="49" t="s">
        <v>709</v>
      </c>
      <c r="B651" s="49" t="s">
        <v>79</v>
      </c>
      <c r="C651" s="50">
        <v>51097</v>
      </c>
      <c r="D651" s="51">
        <v>58816</v>
      </c>
      <c r="E651" s="52">
        <v>7194630903</v>
      </c>
      <c r="F651" s="43"/>
      <c r="G651" s="53">
        <v>35652</v>
      </c>
      <c r="H651" s="54" t="s">
        <v>86</v>
      </c>
      <c r="I651" s="54" t="s">
        <v>598</v>
      </c>
      <c r="J651" s="55" t="s">
        <v>72</v>
      </c>
      <c r="K651" s="54" t="s">
        <v>84</v>
      </c>
      <c r="L651" s="56">
        <f>36101+(6*364)</f>
        <v>38285</v>
      </c>
      <c r="M651" s="43">
        <f t="shared" ca="1" si="10"/>
        <v>21</v>
      </c>
    </row>
    <row r="652" spans="1:13" x14ac:dyDescent="0.3">
      <c r="A652" s="49" t="s">
        <v>710</v>
      </c>
      <c r="B652" s="49" t="s">
        <v>79</v>
      </c>
      <c r="C652" s="50">
        <v>11942</v>
      </c>
      <c r="D652" s="51">
        <v>79062</v>
      </c>
      <c r="E652" s="52">
        <v>3032400511</v>
      </c>
      <c r="F652" s="43"/>
      <c r="G652" s="53">
        <v>84269</v>
      </c>
      <c r="H652" s="54" t="s">
        <v>86</v>
      </c>
      <c r="I652" s="54" t="s">
        <v>836</v>
      </c>
      <c r="J652" s="55" t="s">
        <v>88</v>
      </c>
      <c r="K652" s="54" t="s">
        <v>146</v>
      </c>
      <c r="L652" s="56">
        <f>37885+(6*364)</f>
        <v>40069</v>
      </c>
      <c r="M652" s="43">
        <f t="shared" ca="1" si="10"/>
        <v>16</v>
      </c>
    </row>
    <row r="653" spans="1:13" x14ac:dyDescent="0.3">
      <c r="A653" s="49" t="s">
        <v>712</v>
      </c>
      <c r="B653" s="49" t="s">
        <v>79</v>
      </c>
      <c r="C653" s="50">
        <v>56834</v>
      </c>
      <c r="D653" s="51">
        <v>111353</v>
      </c>
      <c r="E653" s="52">
        <v>5053547588</v>
      </c>
      <c r="F653" s="43" t="s">
        <v>91</v>
      </c>
      <c r="G653" s="53">
        <v>80622</v>
      </c>
      <c r="H653" s="54" t="s">
        <v>70</v>
      </c>
      <c r="I653" s="54" t="s">
        <v>837</v>
      </c>
      <c r="J653" s="55" t="s">
        <v>72</v>
      </c>
      <c r="K653" s="54" t="s">
        <v>84</v>
      </c>
      <c r="L653" s="56">
        <f>37471+(6*364)</f>
        <v>39655</v>
      </c>
      <c r="M653" s="43">
        <f t="shared" ca="1" si="10"/>
        <v>17</v>
      </c>
    </row>
    <row r="654" spans="1:13" x14ac:dyDescent="0.3">
      <c r="A654" s="49" t="s">
        <v>714</v>
      </c>
      <c r="B654" s="49" t="s">
        <v>79</v>
      </c>
      <c r="C654" s="50">
        <v>13108</v>
      </c>
      <c r="D654" s="51">
        <v>101675</v>
      </c>
      <c r="E654" s="52">
        <v>5058742282</v>
      </c>
      <c r="F654" s="43" t="s">
        <v>81</v>
      </c>
      <c r="G654" s="53">
        <v>107930</v>
      </c>
      <c r="H654" s="54" t="s">
        <v>70</v>
      </c>
      <c r="I654" s="54" t="s">
        <v>268</v>
      </c>
      <c r="J654" s="55" t="s">
        <v>88</v>
      </c>
      <c r="K654" s="54" t="s">
        <v>189</v>
      </c>
      <c r="L654" s="56">
        <f>42440+(6*364)</f>
        <v>44624</v>
      </c>
      <c r="M654" s="43">
        <f t="shared" ca="1" si="10"/>
        <v>3</v>
      </c>
    </row>
    <row r="655" spans="1:13" x14ac:dyDescent="0.3">
      <c r="A655" s="49" t="s">
        <v>717</v>
      </c>
      <c r="B655" s="49" t="s">
        <v>79</v>
      </c>
      <c r="C655" s="50">
        <v>13750</v>
      </c>
      <c r="D655" s="51">
        <v>75932</v>
      </c>
      <c r="E655" s="52">
        <v>7197722509</v>
      </c>
      <c r="F655" s="43" t="s">
        <v>98</v>
      </c>
      <c r="G655" s="53">
        <v>107182</v>
      </c>
      <c r="H655" s="54" t="s">
        <v>76</v>
      </c>
      <c r="I655" s="54" t="s">
        <v>824</v>
      </c>
      <c r="J655" s="55" t="s">
        <v>88</v>
      </c>
      <c r="K655" s="54" t="s">
        <v>89</v>
      </c>
      <c r="L655" s="56">
        <f>39433+(6*364)</f>
        <v>41617</v>
      </c>
      <c r="M655" s="43">
        <f t="shared" ca="1" si="10"/>
        <v>12</v>
      </c>
    </row>
    <row r="656" spans="1:13" x14ac:dyDescent="0.3">
      <c r="A656" s="49" t="s">
        <v>719</v>
      </c>
      <c r="B656" s="49" t="s">
        <v>79</v>
      </c>
      <c r="C656" s="50">
        <v>63298</v>
      </c>
      <c r="D656" s="51">
        <v>39212</v>
      </c>
      <c r="E656" s="52">
        <v>3034944945</v>
      </c>
      <c r="F656" s="43"/>
      <c r="G656" s="53">
        <v>93935</v>
      </c>
      <c r="H656" s="54" t="s">
        <v>86</v>
      </c>
      <c r="I656" s="54" t="s">
        <v>825</v>
      </c>
      <c r="J656" s="55" t="s">
        <v>72</v>
      </c>
      <c r="K656" s="54" t="s">
        <v>89</v>
      </c>
      <c r="L656" s="56">
        <f>38355+(6*364)</f>
        <v>40539</v>
      </c>
      <c r="M656" s="43">
        <f t="shared" ca="1" si="10"/>
        <v>14</v>
      </c>
    </row>
    <row r="657" spans="1:13" x14ac:dyDescent="0.3">
      <c r="A657" s="49" t="s">
        <v>730</v>
      </c>
      <c r="B657" s="49" t="s">
        <v>79</v>
      </c>
      <c r="C657" s="50">
        <v>23296</v>
      </c>
      <c r="D657" s="51">
        <v>79278</v>
      </c>
      <c r="E657" s="52">
        <v>5055918708</v>
      </c>
      <c r="F657" s="43" t="s">
        <v>91</v>
      </c>
      <c r="G657" s="53">
        <v>86627</v>
      </c>
      <c r="H657" s="54" t="s">
        <v>70</v>
      </c>
      <c r="I657" s="54" t="s">
        <v>789</v>
      </c>
      <c r="J657" s="55" t="s">
        <v>72</v>
      </c>
      <c r="K657" s="54" t="s">
        <v>79</v>
      </c>
      <c r="L657" s="56">
        <f>35486+(6*364)</f>
        <v>37670</v>
      </c>
      <c r="M657" s="43">
        <f t="shared" ca="1" si="10"/>
        <v>22</v>
      </c>
    </row>
    <row r="658" spans="1:13" x14ac:dyDescent="0.3">
      <c r="A658" s="49" t="s">
        <v>740</v>
      </c>
      <c r="B658" s="49" t="s">
        <v>79</v>
      </c>
      <c r="C658" s="50">
        <v>29795</v>
      </c>
      <c r="D658" s="51">
        <v>98386</v>
      </c>
      <c r="E658" s="52">
        <v>3037853314</v>
      </c>
      <c r="F658" s="43"/>
      <c r="G658" s="53">
        <v>84386</v>
      </c>
      <c r="H658" s="54" t="s">
        <v>86</v>
      </c>
      <c r="I658" s="54" t="s">
        <v>600</v>
      </c>
      <c r="J658" s="55" t="s">
        <v>72</v>
      </c>
      <c r="K658" s="54" t="s">
        <v>89</v>
      </c>
      <c r="L658" s="56">
        <f>37109+(6*364)</f>
        <v>39293</v>
      </c>
      <c r="M658" s="43">
        <f t="shared" ca="1" si="10"/>
        <v>18</v>
      </c>
    </row>
    <row r="659" spans="1:13" x14ac:dyDescent="0.3">
      <c r="A659" s="49" t="s">
        <v>742</v>
      </c>
      <c r="B659" s="49" t="s">
        <v>79</v>
      </c>
      <c r="C659" s="50">
        <v>17140</v>
      </c>
      <c r="D659" s="51">
        <v>121162</v>
      </c>
      <c r="E659" s="52">
        <v>7198922252</v>
      </c>
      <c r="F659" s="43" t="s">
        <v>81</v>
      </c>
      <c r="G659" s="53">
        <v>72561</v>
      </c>
      <c r="H659" s="54" t="s">
        <v>70</v>
      </c>
      <c r="I659" s="54" t="s">
        <v>826</v>
      </c>
      <c r="J659" s="55" t="s">
        <v>78</v>
      </c>
      <c r="K659" s="54" t="s">
        <v>95</v>
      </c>
      <c r="L659" s="56">
        <f>41628+(6*364)</f>
        <v>43812</v>
      </c>
      <c r="M659" s="43">
        <f t="shared" ca="1" si="10"/>
        <v>6</v>
      </c>
    </row>
    <row r="660" spans="1:13" x14ac:dyDescent="0.3">
      <c r="A660" s="49" t="s">
        <v>757</v>
      </c>
      <c r="B660" s="49" t="s">
        <v>79</v>
      </c>
      <c r="C660" s="50">
        <v>71999</v>
      </c>
      <c r="D660" s="51">
        <v>118872</v>
      </c>
      <c r="E660" s="52">
        <v>7196798743</v>
      </c>
      <c r="F660" s="43" t="s">
        <v>98</v>
      </c>
      <c r="G660" s="53">
        <v>108125</v>
      </c>
      <c r="H660" s="54" t="s">
        <v>70</v>
      </c>
      <c r="I660" s="54" t="s">
        <v>838</v>
      </c>
      <c r="J660" s="55" t="s">
        <v>72</v>
      </c>
      <c r="K660" s="54" t="s">
        <v>280</v>
      </c>
      <c r="L660" s="56">
        <f>35927+(6*364)</f>
        <v>38111</v>
      </c>
      <c r="M660" s="43">
        <f t="shared" ca="1" si="10"/>
        <v>21</v>
      </c>
    </row>
    <row r="661" spans="1:13" x14ac:dyDescent="0.3">
      <c r="A661" s="49" t="s">
        <v>758</v>
      </c>
      <c r="B661" s="49" t="s">
        <v>79</v>
      </c>
      <c r="C661" s="50">
        <v>21669</v>
      </c>
      <c r="D661" s="51">
        <v>63365</v>
      </c>
      <c r="E661" s="52">
        <v>5054744493</v>
      </c>
      <c r="F661" s="43"/>
      <c r="G661" s="53">
        <v>92533</v>
      </c>
      <c r="H661" s="54" t="s">
        <v>108</v>
      </c>
      <c r="I661" s="54" t="s">
        <v>751</v>
      </c>
      <c r="J661" s="55" t="s">
        <v>72</v>
      </c>
      <c r="K661" s="54" t="s">
        <v>79</v>
      </c>
      <c r="L661" s="56">
        <f>38473+(6*364)</f>
        <v>40657</v>
      </c>
      <c r="M661" s="43">
        <f t="shared" ca="1" si="10"/>
        <v>14</v>
      </c>
    </row>
    <row r="662" spans="1:13" x14ac:dyDescent="0.3">
      <c r="A662" s="49" t="s">
        <v>763</v>
      </c>
      <c r="B662" s="49" t="s">
        <v>79</v>
      </c>
      <c r="C662" s="50">
        <v>38039</v>
      </c>
      <c r="D662" s="51">
        <v>57386</v>
      </c>
      <c r="E662" s="52">
        <v>3033539483</v>
      </c>
      <c r="F662" s="43" t="s">
        <v>69</v>
      </c>
      <c r="G662" s="53">
        <v>68054</v>
      </c>
      <c r="H662" s="54" t="s">
        <v>70</v>
      </c>
      <c r="I662" s="54" t="s">
        <v>602</v>
      </c>
      <c r="J662" s="55" t="s">
        <v>88</v>
      </c>
      <c r="K662" s="54" t="s">
        <v>204</v>
      </c>
      <c r="L662" s="56">
        <f>35037+(6*364)</f>
        <v>37221</v>
      </c>
      <c r="M662" s="43">
        <f t="shared" ca="1" si="10"/>
        <v>24</v>
      </c>
    </row>
    <row r="663" spans="1:13" x14ac:dyDescent="0.3">
      <c r="A663" s="49" t="s">
        <v>772</v>
      </c>
      <c r="B663" s="49" t="s">
        <v>79</v>
      </c>
      <c r="C663" s="50">
        <v>96339</v>
      </c>
      <c r="D663" s="51">
        <v>78056</v>
      </c>
      <c r="E663" s="52">
        <v>9702490678</v>
      </c>
      <c r="F663" s="43" t="s">
        <v>98</v>
      </c>
      <c r="G663" s="53">
        <v>118245</v>
      </c>
      <c r="H663" s="54" t="s">
        <v>70</v>
      </c>
      <c r="I663" s="54" t="s">
        <v>604</v>
      </c>
      <c r="J663" s="55" t="s">
        <v>100</v>
      </c>
      <c r="K663" s="54" t="s">
        <v>146</v>
      </c>
      <c r="L663" s="56">
        <f>37648+(6*364)</f>
        <v>39832</v>
      </c>
      <c r="M663" s="43">
        <f t="shared" ca="1" si="10"/>
        <v>16</v>
      </c>
    </row>
    <row r="664" spans="1:13" x14ac:dyDescent="0.3">
      <c r="A664" s="49" t="s">
        <v>776</v>
      </c>
      <c r="B664" s="49" t="s">
        <v>79</v>
      </c>
      <c r="C664" s="50">
        <v>39028</v>
      </c>
      <c r="D664" s="51">
        <v>94370</v>
      </c>
      <c r="E664" s="52">
        <v>5051351512</v>
      </c>
      <c r="F664" s="43"/>
      <c r="G664" s="53">
        <v>96330</v>
      </c>
      <c r="H664" s="54" t="s">
        <v>86</v>
      </c>
      <c r="I664" s="54" t="s">
        <v>605</v>
      </c>
      <c r="J664" s="55" t="s">
        <v>153</v>
      </c>
      <c r="K664" s="54" t="s">
        <v>89</v>
      </c>
      <c r="L664" s="56">
        <f>39153+(6*364)</f>
        <v>41337</v>
      </c>
      <c r="M664" s="43">
        <f t="shared" ca="1" si="10"/>
        <v>12</v>
      </c>
    </row>
    <row r="665" spans="1:13" x14ac:dyDescent="0.3">
      <c r="A665" s="49" t="s">
        <v>779</v>
      </c>
      <c r="B665" s="49" t="s">
        <v>79</v>
      </c>
      <c r="C665" s="50">
        <v>66060</v>
      </c>
      <c r="D665" s="51">
        <v>76484</v>
      </c>
      <c r="E665" s="52">
        <v>9703327522</v>
      </c>
      <c r="F665" s="43" t="s">
        <v>91</v>
      </c>
      <c r="G665" s="53">
        <v>94543</v>
      </c>
      <c r="H665" s="54" t="s">
        <v>70</v>
      </c>
      <c r="I665" s="54" t="s">
        <v>699</v>
      </c>
      <c r="J665" s="55" t="s">
        <v>153</v>
      </c>
      <c r="K665" s="54" t="s">
        <v>172</v>
      </c>
      <c r="L665" s="56">
        <f>42002+(6*364)</f>
        <v>44186</v>
      </c>
      <c r="M665" s="43">
        <f t="shared" ca="1" si="10"/>
        <v>4</v>
      </c>
    </row>
    <row r="666" spans="1:13" x14ac:dyDescent="0.3">
      <c r="A666" s="49" t="s">
        <v>797</v>
      </c>
      <c r="B666" s="49" t="s">
        <v>79</v>
      </c>
      <c r="C666" s="50">
        <v>81573</v>
      </c>
      <c r="D666" s="51">
        <v>76878</v>
      </c>
      <c r="E666" s="52">
        <v>9704269081</v>
      </c>
      <c r="F666" s="43" t="s">
        <v>91</v>
      </c>
      <c r="G666" s="53">
        <v>38996</v>
      </c>
      <c r="H666" s="54" t="s">
        <v>70</v>
      </c>
      <c r="I666" s="54" t="s">
        <v>154</v>
      </c>
      <c r="J666" s="55" t="s">
        <v>78</v>
      </c>
      <c r="K666" s="54" t="s">
        <v>89</v>
      </c>
      <c r="L666" s="56">
        <f>35977+(6*364)</f>
        <v>38161</v>
      </c>
      <c r="M666" s="43">
        <f t="shared" ca="1" si="10"/>
        <v>21</v>
      </c>
    </row>
    <row r="667" spans="1:13" x14ac:dyDescent="0.3">
      <c r="A667" s="49" t="s">
        <v>801</v>
      </c>
      <c r="B667" s="49" t="s">
        <v>79</v>
      </c>
      <c r="C667" s="50">
        <v>50979</v>
      </c>
      <c r="D667" s="51">
        <v>124989</v>
      </c>
      <c r="E667" s="52">
        <v>7197764351</v>
      </c>
      <c r="F667" s="43" t="s">
        <v>98</v>
      </c>
      <c r="G667" s="53">
        <v>115910</v>
      </c>
      <c r="H667" s="54" t="s">
        <v>70</v>
      </c>
      <c r="I667" s="54" t="s">
        <v>840</v>
      </c>
      <c r="J667" s="55" t="s">
        <v>72</v>
      </c>
      <c r="K667" s="54" t="s">
        <v>342</v>
      </c>
      <c r="L667" s="56">
        <f>40451+(6*364)</f>
        <v>42635</v>
      </c>
      <c r="M667" s="43">
        <f t="shared" ca="1" si="10"/>
        <v>9</v>
      </c>
    </row>
    <row r="668" spans="1:13" x14ac:dyDescent="0.3">
      <c r="A668" s="49" t="s">
        <v>804</v>
      </c>
      <c r="B668" s="49" t="s">
        <v>79</v>
      </c>
      <c r="C668" s="50">
        <v>81625</v>
      </c>
      <c r="D668" s="51">
        <v>73430</v>
      </c>
      <c r="E668" s="52">
        <v>7196082608</v>
      </c>
      <c r="F668" s="43"/>
      <c r="G668" s="53">
        <v>60636</v>
      </c>
      <c r="H668" s="54" t="s">
        <v>86</v>
      </c>
      <c r="I668" s="54" t="s">
        <v>270</v>
      </c>
      <c r="J668" s="55" t="s">
        <v>88</v>
      </c>
      <c r="K668" s="54" t="s">
        <v>172</v>
      </c>
      <c r="L668" s="56">
        <f>42274+(6*364)</f>
        <v>44458</v>
      </c>
      <c r="M668" s="43">
        <f t="shared" ca="1" si="10"/>
        <v>4</v>
      </c>
    </row>
    <row r="669" spans="1:13" x14ac:dyDescent="0.3">
      <c r="A669" s="49" t="s">
        <v>805</v>
      </c>
      <c r="B669" s="49" t="s">
        <v>79</v>
      </c>
      <c r="C669" s="50">
        <v>37023</v>
      </c>
      <c r="D669" s="51">
        <v>71420</v>
      </c>
      <c r="E669" s="52">
        <v>3035368383</v>
      </c>
      <c r="F669" s="43" t="s">
        <v>98</v>
      </c>
      <c r="G669" s="53">
        <v>58740</v>
      </c>
      <c r="H669" s="54" t="s">
        <v>70</v>
      </c>
      <c r="I669" s="54" t="s">
        <v>607</v>
      </c>
      <c r="J669" s="55" t="s">
        <v>88</v>
      </c>
      <c r="K669" s="54" t="s">
        <v>93</v>
      </c>
      <c r="L669" s="56">
        <f>38221+(6*364)</f>
        <v>40405</v>
      </c>
      <c r="M669" s="43">
        <f t="shared" ca="1" si="10"/>
        <v>15</v>
      </c>
    </row>
    <row r="670" spans="1:13" x14ac:dyDescent="0.3">
      <c r="A670" s="49" t="s">
        <v>806</v>
      </c>
      <c r="B670" s="49" t="s">
        <v>79</v>
      </c>
      <c r="C670" s="50">
        <v>63990</v>
      </c>
      <c r="D670" s="51">
        <v>61344</v>
      </c>
      <c r="E670" s="52">
        <v>3031472895</v>
      </c>
      <c r="F670" s="43" t="s">
        <v>75</v>
      </c>
      <c r="G670" s="53">
        <v>52254</v>
      </c>
      <c r="H670" s="54" t="s">
        <v>70</v>
      </c>
      <c r="I670" s="54" t="s">
        <v>679</v>
      </c>
      <c r="J670" s="55" t="s">
        <v>88</v>
      </c>
      <c r="K670" s="54" t="s">
        <v>89</v>
      </c>
      <c r="L670" s="56">
        <f>37619+(6*364)</f>
        <v>39803</v>
      </c>
      <c r="M670" s="43">
        <f t="shared" ca="1" si="10"/>
        <v>16</v>
      </c>
    </row>
    <row r="671" spans="1:13" x14ac:dyDescent="0.3">
      <c r="A671" s="49" t="s">
        <v>807</v>
      </c>
      <c r="B671" s="49" t="s">
        <v>79</v>
      </c>
      <c r="C671" s="50">
        <v>59475</v>
      </c>
      <c r="D671" s="51">
        <v>57734</v>
      </c>
      <c r="E671" s="52">
        <v>7195990200</v>
      </c>
      <c r="F671" s="43" t="s">
        <v>98</v>
      </c>
      <c r="G671" s="53">
        <v>69202</v>
      </c>
      <c r="H671" s="54" t="s">
        <v>70</v>
      </c>
      <c r="I671" s="54" t="s">
        <v>609</v>
      </c>
      <c r="J671" s="55" t="s">
        <v>88</v>
      </c>
      <c r="K671" s="54" t="s">
        <v>93</v>
      </c>
      <c r="L671" s="56">
        <f>42090+(6*364)</f>
        <v>44274</v>
      </c>
      <c r="M671" s="43">
        <f t="shared" ca="1" si="10"/>
        <v>4</v>
      </c>
    </row>
    <row r="672" spans="1:13" x14ac:dyDescent="0.3">
      <c r="A672" s="49" t="s">
        <v>808</v>
      </c>
      <c r="B672" s="49" t="s">
        <v>79</v>
      </c>
      <c r="C672" s="50">
        <v>60471</v>
      </c>
      <c r="D672" s="51">
        <v>56184</v>
      </c>
      <c r="E672" s="52">
        <v>9704316324</v>
      </c>
      <c r="F672" s="43"/>
      <c r="G672" s="53">
        <v>29923</v>
      </c>
      <c r="H672" s="54" t="s">
        <v>86</v>
      </c>
      <c r="I672" s="54" t="s">
        <v>272</v>
      </c>
      <c r="J672" s="55" t="s">
        <v>88</v>
      </c>
      <c r="K672" s="54" t="s">
        <v>89</v>
      </c>
      <c r="L672" s="56">
        <f>39867+(6*364)</f>
        <v>42051</v>
      </c>
      <c r="M672" s="43">
        <f t="shared" ca="1" si="10"/>
        <v>10</v>
      </c>
    </row>
    <row r="673" spans="1:13" x14ac:dyDescent="0.3">
      <c r="A673" s="49" t="s">
        <v>810</v>
      </c>
      <c r="B673" s="49" t="s">
        <v>79</v>
      </c>
      <c r="C673" s="50">
        <v>14361</v>
      </c>
      <c r="D673" s="51">
        <v>106827</v>
      </c>
      <c r="E673" s="52">
        <v>7198433766</v>
      </c>
      <c r="F673" s="43" t="s">
        <v>69</v>
      </c>
      <c r="G673" s="53">
        <v>127620</v>
      </c>
      <c r="H673" s="54" t="s">
        <v>70</v>
      </c>
      <c r="I673" s="54" t="s">
        <v>827</v>
      </c>
      <c r="J673" s="55" t="s">
        <v>88</v>
      </c>
      <c r="K673" s="54" t="s">
        <v>73</v>
      </c>
      <c r="L673" s="56">
        <f>35873+(6*364)</f>
        <v>38057</v>
      </c>
      <c r="M673" s="43">
        <f t="shared" ca="1" si="10"/>
        <v>21</v>
      </c>
    </row>
    <row r="674" spans="1:13" x14ac:dyDescent="0.3">
      <c r="A674" s="49" t="s">
        <v>811</v>
      </c>
      <c r="B674" s="49" t="s">
        <v>79</v>
      </c>
      <c r="C674" s="50">
        <v>45369</v>
      </c>
      <c r="D674" s="51">
        <v>78041</v>
      </c>
      <c r="E674" s="52">
        <v>7191259179</v>
      </c>
      <c r="F674" s="43" t="s">
        <v>91</v>
      </c>
      <c r="G674" s="53">
        <v>129963</v>
      </c>
      <c r="H674" s="54" t="s">
        <v>70</v>
      </c>
      <c r="I674" s="54" t="s">
        <v>26</v>
      </c>
      <c r="J674" s="55" t="s">
        <v>78</v>
      </c>
      <c r="K674" s="54" t="s">
        <v>79</v>
      </c>
      <c r="L674" s="56">
        <f>40570+(6*364)</f>
        <v>42754</v>
      </c>
      <c r="M674" s="43">
        <f t="shared" ca="1" si="10"/>
        <v>8</v>
      </c>
    </row>
    <row r="675" spans="1:13" x14ac:dyDescent="0.3">
      <c r="A675" s="49" t="s">
        <v>813</v>
      </c>
      <c r="B675" s="49" t="s">
        <v>79</v>
      </c>
      <c r="C675" s="50">
        <v>86314</v>
      </c>
      <c r="D675" s="51">
        <v>122137</v>
      </c>
      <c r="E675" s="52">
        <v>5055592950</v>
      </c>
      <c r="F675" s="43" t="s">
        <v>98</v>
      </c>
      <c r="G675" s="53">
        <v>92239</v>
      </c>
      <c r="H675" s="54" t="s">
        <v>70</v>
      </c>
      <c r="I675" s="54" t="s">
        <v>828</v>
      </c>
      <c r="J675" s="55" t="s">
        <v>88</v>
      </c>
      <c r="K675" s="54" t="s">
        <v>172</v>
      </c>
      <c r="L675" s="56">
        <f>36104+(6*364)</f>
        <v>38288</v>
      </c>
      <c r="M675" s="43">
        <f t="shared" ca="1" si="10"/>
        <v>21</v>
      </c>
    </row>
    <row r="676" spans="1:13" x14ac:dyDescent="0.3">
      <c r="A676" s="49" t="s">
        <v>814</v>
      </c>
      <c r="B676" s="49" t="s">
        <v>79</v>
      </c>
      <c r="C676" s="50">
        <v>56522</v>
      </c>
      <c r="D676" s="51">
        <v>51468</v>
      </c>
      <c r="E676" s="52">
        <v>7192715355</v>
      </c>
      <c r="F676" s="43"/>
      <c r="G676" s="53">
        <v>60367</v>
      </c>
      <c r="H676" s="54" t="s">
        <v>86</v>
      </c>
      <c r="I676" s="54" t="s">
        <v>23</v>
      </c>
      <c r="J676" s="55" t="s">
        <v>153</v>
      </c>
      <c r="K676" s="54" t="s">
        <v>103</v>
      </c>
      <c r="L676" s="56">
        <f>41707+(6*364)</f>
        <v>43891</v>
      </c>
      <c r="M676" s="43">
        <f t="shared" ca="1" si="10"/>
        <v>5</v>
      </c>
    </row>
    <row r="677" spans="1:13" x14ac:dyDescent="0.3">
      <c r="A677" s="49" t="s">
        <v>817</v>
      </c>
      <c r="B677" s="49" t="s">
        <v>79</v>
      </c>
      <c r="C677" s="50">
        <v>61295</v>
      </c>
      <c r="D677" s="51">
        <v>131830</v>
      </c>
      <c r="E677" s="52">
        <v>7193938131</v>
      </c>
      <c r="F677" s="43" t="s">
        <v>75</v>
      </c>
      <c r="G677" s="53">
        <v>123649</v>
      </c>
      <c r="H677" s="54" t="s">
        <v>70</v>
      </c>
      <c r="I677" s="54" t="s">
        <v>829</v>
      </c>
      <c r="J677" s="55" t="s">
        <v>72</v>
      </c>
      <c r="K677" s="54" t="s">
        <v>172</v>
      </c>
      <c r="L677" s="56">
        <f>38331+(6*364)</f>
        <v>40515</v>
      </c>
      <c r="M677" s="43">
        <f t="shared" ca="1" si="10"/>
        <v>15</v>
      </c>
    </row>
    <row r="678" spans="1:13" x14ac:dyDescent="0.3">
      <c r="A678" s="49" t="s">
        <v>819</v>
      </c>
      <c r="B678" s="49" t="s">
        <v>79</v>
      </c>
      <c r="C678" s="50">
        <v>43688</v>
      </c>
      <c r="D678" s="51">
        <v>126487</v>
      </c>
      <c r="E678" s="52">
        <v>5057682821</v>
      </c>
      <c r="F678" s="43" t="s">
        <v>75</v>
      </c>
      <c r="G678" s="53">
        <v>36405</v>
      </c>
      <c r="H678" s="54" t="s">
        <v>70</v>
      </c>
      <c r="I678" s="54" t="s">
        <v>274</v>
      </c>
      <c r="J678" s="55" t="s">
        <v>72</v>
      </c>
      <c r="K678" s="54" t="s">
        <v>79</v>
      </c>
      <c r="L678" s="56">
        <f>37949+(6*364)</f>
        <v>40133</v>
      </c>
      <c r="M678" s="43">
        <f t="shared" ca="1" si="10"/>
        <v>16</v>
      </c>
    </row>
    <row r="679" spans="1:13" x14ac:dyDescent="0.3">
      <c r="A679" s="49" t="s">
        <v>820</v>
      </c>
      <c r="B679" s="49" t="s">
        <v>79</v>
      </c>
      <c r="C679" s="50">
        <v>70052</v>
      </c>
      <c r="D679" s="51">
        <v>78036</v>
      </c>
      <c r="E679" s="52">
        <v>7193492633</v>
      </c>
      <c r="F679" s="43" t="s">
        <v>69</v>
      </c>
      <c r="G679" s="53">
        <v>60738</v>
      </c>
      <c r="H679" s="54" t="s">
        <v>76</v>
      </c>
      <c r="I679" s="54" t="s">
        <v>842</v>
      </c>
      <c r="J679" s="55" t="s">
        <v>78</v>
      </c>
      <c r="K679" s="54" t="s">
        <v>93</v>
      </c>
      <c r="L679" s="56">
        <f>37075+(6*364)</f>
        <v>39259</v>
      </c>
      <c r="M679" s="43">
        <f t="shared" ca="1" si="10"/>
        <v>18</v>
      </c>
    </row>
    <row r="680" spans="1:13" x14ac:dyDescent="0.3">
      <c r="A680" s="49" t="s">
        <v>845</v>
      </c>
      <c r="B680" s="49" t="s">
        <v>79</v>
      </c>
      <c r="C680" s="50">
        <v>22156</v>
      </c>
      <c r="D680" s="51">
        <v>124100</v>
      </c>
      <c r="E680" s="52">
        <v>9708407416</v>
      </c>
      <c r="F680" s="43"/>
      <c r="G680" s="53">
        <v>58394</v>
      </c>
      <c r="H680" s="54" t="s">
        <v>86</v>
      </c>
      <c r="I680" s="54" t="s">
        <v>276</v>
      </c>
      <c r="J680" s="55" t="s">
        <v>72</v>
      </c>
      <c r="K680" s="54" t="s">
        <v>103</v>
      </c>
      <c r="L680" s="56">
        <f>37827+(6*364)</f>
        <v>40011</v>
      </c>
      <c r="M680" s="43">
        <f t="shared" ca="1" si="10"/>
        <v>16</v>
      </c>
    </row>
    <row r="681" spans="1:13" x14ac:dyDescent="0.3">
      <c r="A681" s="49" t="s">
        <v>833</v>
      </c>
      <c r="B681" s="49" t="s">
        <v>79</v>
      </c>
      <c r="C681" s="50">
        <v>71325</v>
      </c>
      <c r="D681" s="51">
        <v>75423</v>
      </c>
      <c r="E681" s="52">
        <v>3032939413</v>
      </c>
      <c r="F681" s="43" t="s">
        <v>69</v>
      </c>
      <c r="G681" s="53">
        <v>71711</v>
      </c>
      <c r="H681" s="54" t="s">
        <v>76</v>
      </c>
      <c r="I681" s="54" t="s">
        <v>278</v>
      </c>
      <c r="J681" s="55" t="s">
        <v>88</v>
      </c>
      <c r="K681" s="54" t="s">
        <v>93</v>
      </c>
      <c r="L681" s="56">
        <f>37914+(6*364)</f>
        <v>40098</v>
      </c>
      <c r="M681" s="43">
        <f t="shared" ca="1" si="10"/>
        <v>16</v>
      </c>
    </row>
    <row r="682" spans="1:13" x14ac:dyDescent="0.3">
      <c r="A682" s="49" t="s">
        <v>834</v>
      </c>
      <c r="B682" s="49" t="s">
        <v>79</v>
      </c>
      <c r="C682" s="50">
        <v>52524</v>
      </c>
      <c r="D682" s="51">
        <v>74388</v>
      </c>
      <c r="E682" s="52">
        <v>9708908079</v>
      </c>
      <c r="F682" s="43" t="s">
        <v>91</v>
      </c>
      <c r="G682" s="53">
        <v>40310</v>
      </c>
      <c r="H682" s="54" t="s">
        <v>70</v>
      </c>
      <c r="I682" s="54" t="s">
        <v>612</v>
      </c>
      <c r="J682" s="55" t="s">
        <v>100</v>
      </c>
      <c r="K682" s="54" t="s">
        <v>79</v>
      </c>
      <c r="L682" s="56">
        <f>39419+(6*364)</f>
        <v>41603</v>
      </c>
      <c r="M682" s="43">
        <f t="shared" ca="1" si="10"/>
        <v>12</v>
      </c>
    </row>
    <row r="683" spans="1:13" x14ac:dyDescent="0.3">
      <c r="A683" s="49" t="s">
        <v>835</v>
      </c>
      <c r="B683" s="49" t="s">
        <v>79</v>
      </c>
      <c r="C683" s="50">
        <v>95220</v>
      </c>
      <c r="D683" s="51">
        <v>109549</v>
      </c>
      <c r="E683" s="52">
        <v>3036739978</v>
      </c>
      <c r="F683" s="43"/>
      <c r="G683" s="53">
        <v>92651</v>
      </c>
      <c r="H683" s="54" t="s">
        <v>86</v>
      </c>
      <c r="I683" s="54" t="s">
        <v>830</v>
      </c>
      <c r="J683" s="55" t="s">
        <v>72</v>
      </c>
      <c r="K683" s="54" t="s">
        <v>103</v>
      </c>
      <c r="L683" s="56">
        <f>35802+(6*364)</f>
        <v>37986</v>
      </c>
      <c r="M683" s="43">
        <f t="shared" ca="1" si="10"/>
        <v>21</v>
      </c>
    </row>
    <row r="684" spans="1:13" x14ac:dyDescent="0.3">
      <c r="A684" s="49" t="s">
        <v>836</v>
      </c>
      <c r="B684" s="49" t="s">
        <v>79</v>
      </c>
      <c r="C684" s="50">
        <v>28724</v>
      </c>
      <c r="D684" s="51">
        <v>87399</v>
      </c>
      <c r="E684" s="52">
        <v>7191806180</v>
      </c>
      <c r="F684" s="43" t="s">
        <v>91</v>
      </c>
      <c r="G684" s="53">
        <v>119826</v>
      </c>
      <c r="H684" s="54" t="s">
        <v>70</v>
      </c>
      <c r="I684" s="54" t="s">
        <v>682</v>
      </c>
      <c r="J684" s="55" t="s">
        <v>100</v>
      </c>
      <c r="K684" s="54" t="s">
        <v>93</v>
      </c>
      <c r="L684" s="56">
        <f>38060+(6*364)</f>
        <v>40244</v>
      </c>
      <c r="M684" s="43">
        <f t="shared" ca="1" si="10"/>
        <v>15</v>
      </c>
    </row>
    <row r="685" spans="1:13" x14ac:dyDescent="0.3">
      <c r="A685" s="49" t="s">
        <v>837</v>
      </c>
      <c r="B685" s="49" t="s">
        <v>79</v>
      </c>
      <c r="C685" s="50">
        <v>46438</v>
      </c>
      <c r="D685" s="51">
        <v>74127</v>
      </c>
      <c r="E685" s="52">
        <v>3033613559</v>
      </c>
      <c r="F685" s="43"/>
      <c r="G685" s="53">
        <v>34376</v>
      </c>
      <c r="H685" s="54" t="s">
        <v>86</v>
      </c>
      <c r="I685" s="54" t="s">
        <v>705</v>
      </c>
      <c r="J685" s="55" t="s">
        <v>83</v>
      </c>
      <c r="K685" s="54" t="s">
        <v>146</v>
      </c>
      <c r="L685" s="56">
        <f>38390+(6*364)</f>
        <v>40574</v>
      </c>
      <c r="M685" s="43">
        <f t="shared" ca="1" si="10"/>
        <v>14</v>
      </c>
    </row>
    <row r="686" spans="1:13" x14ac:dyDescent="0.3">
      <c r="A686" s="49" t="s">
        <v>838</v>
      </c>
      <c r="B686" s="49" t="s">
        <v>79</v>
      </c>
      <c r="C686" s="50">
        <v>13406</v>
      </c>
      <c r="D686" s="51">
        <v>132702</v>
      </c>
      <c r="E686" s="52">
        <v>7197135797</v>
      </c>
      <c r="F686" s="43"/>
      <c r="G686" s="53">
        <v>85184</v>
      </c>
      <c r="H686" s="54" t="s">
        <v>86</v>
      </c>
      <c r="I686" s="54" t="s">
        <v>791</v>
      </c>
      <c r="J686" s="55" t="s">
        <v>88</v>
      </c>
      <c r="K686" s="54" t="s">
        <v>342</v>
      </c>
      <c r="L686" s="56">
        <f>37253+(6*364)</f>
        <v>39437</v>
      </c>
      <c r="M686" s="43">
        <f t="shared" ca="1" si="10"/>
        <v>17</v>
      </c>
    </row>
    <row r="687" spans="1:13" x14ac:dyDescent="0.3">
      <c r="A687" s="49" t="s">
        <v>840</v>
      </c>
      <c r="B687" s="49" t="s">
        <v>79</v>
      </c>
      <c r="C687" s="50">
        <v>57703</v>
      </c>
      <c r="D687" s="51">
        <v>69178</v>
      </c>
      <c r="E687" s="52">
        <v>3033883356</v>
      </c>
      <c r="F687" s="43" t="s">
        <v>91</v>
      </c>
      <c r="G687" s="53">
        <v>128913</v>
      </c>
      <c r="H687" s="54" t="s">
        <v>70</v>
      </c>
      <c r="I687" s="54" t="s">
        <v>134</v>
      </c>
      <c r="J687" s="55" t="s">
        <v>88</v>
      </c>
      <c r="K687" s="54" t="s">
        <v>89</v>
      </c>
      <c r="L687" s="56">
        <f>36073+(6*364)</f>
        <v>38257</v>
      </c>
      <c r="M687" s="43">
        <f t="shared" ca="1" si="10"/>
        <v>21</v>
      </c>
    </row>
    <row r="688" spans="1:13" x14ac:dyDescent="0.3">
      <c r="A688" s="49" t="s">
        <v>846</v>
      </c>
      <c r="B688" s="49" t="s">
        <v>79</v>
      </c>
      <c r="C688" s="50">
        <v>40361</v>
      </c>
      <c r="D688" s="51">
        <v>51928</v>
      </c>
      <c r="E688" s="52">
        <v>3034383168</v>
      </c>
      <c r="F688" s="43" t="s">
        <v>81</v>
      </c>
      <c r="G688" s="53">
        <v>72223</v>
      </c>
      <c r="H688" s="54" t="s">
        <v>70</v>
      </c>
      <c r="I688" s="54" t="s">
        <v>793</v>
      </c>
      <c r="J688" s="55" t="s">
        <v>72</v>
      </c>
      <c r="K688" s="54" t="s">
        <v>79</v>
      </c>
      <c r="L688" s="56">
        <f>37171+(6*364)</f>
        <v>39355</v>
      </c>
      <c r="M688" s="43">
        <f t="shared" ca="1" si="10"/>
        <v>18</v>
      </c>
    </row>
    <row r="689" spans="1:13" x14ac:dyDescent="0.3">
      <c r="A689" s="49" t="s">
        <v>843</v>
      </c>
      <c r="B689" s="49" t="s">
        <v>79</v>
      </c>
      <c r="C689" s="50">
        <v>87941</v>
      </c>
      <c r="D689" s="51">
        <v>65205</v>
      </c>
      <c r="E689" s="52">
        <v>3038356334</v>
      </c>
      <c r="F689" s="43" t="s">
        <v>81</v>
      </c>
      <c r="G689" s="53">
        <v>42585</v>
      </c>
      <c r="H689" s="54" t="s">
        <v>70</v>
      </c>
      <c r="I689" s="54" t="s">
        <v>794</v>
      </c>
      <c r="J689" s="55" t="s">
        <v>72</v>
      </c>
      <c r="K689" s="54" t="s">
        <v>79</v>
      </c>
      <c r="L689" s="56">
        <f>37551+(6*364)</f>
        <v>39735</v>
      </c>
      <c r="M689" s="43">
        <f t="shared" ca="1" si="10"/>
        <v>17</v>
      </c>
    </row>
    <row r="690" spans="1:13" x14ac:dyDescent="0.3">
      <c r="A690" s="49" t="s">
        <v>82</v>
      </c>
      <c r="B690" s="49" t="s">
        <v>523</v>
      </c>
      <c r="C690" s="50">
        <v>87637</v>
      </c>
      <c r="D690" s="51">
        <v>131058</v>
      </c>
      <c r="E690" s="52">
        <v>7193838954</v>
      </c>
      <c r="F690" s="43"/>
      <c r="G690" s="53">
        <v>78624</v>
      </c>
      <c r="H690" s="54" t="s">
        <v>86</v>
      </c>
      <c r="I690" s="54" t="s">
        <v>614</v>
      </c>
      <c r="J690" s="55" t="s">
        <v>72</v>
      </c>
      <c r="K690" s="54" t="s">
        <v>172</v>
      </c>
      <c r="L690" s="56">
        <f>40717+(6*364)</f>
        <v>42901</v>
      </c>
      <c r="M690" s="43">
        <f t="shared" ca="1" si="10"/>
        <v>8</v>
      </c>
    </row>
    <row r="691" spans="1:13" x14ac:dyDescent="0.3">
      <c r="A691" s="49" t="s">
        <v>121</v>
      </c>
      <c r="B691" s="49" t="s">
        <v>523</v>
      </c>
      <c r="C691" s="50">
        <v>58622</v>
      </c>
      <c r="D691" s="51">
        <v>99273</v>
      </c>
      <c r="E691" s="52">
        <v>9706732103</v>
      </c>
      <c r="F691" s="43" t="s">
        <v>91</v>
      </c>
      <c r="G691" s="53">
        <v>71959</v>
      </c>
      <c r="H691" s="54" t="s">
        <v>70</v>
      </c>
      <c r="I691" s="54" t="s">
        <v>795</v>
      </c>
      <c r="J691" s="55" t="s">
        <v>78</v>
      </c>
      <c r="K691" s="54" t="s">
        <v>172</v>
      </c>
      <c r="L691" s="56">
        <f>38214+(6*364)</f>
        <v>40398</v>
      </c>
      <c r="M691" s="43">
        <f t="shared" ca="1" si="10"/>
        <v>15</v>
      </c>
    </row>
    <row r="692" spans="1:13" x14ac:dyDescent="0.3">
      <c r="A692" s="49" t="s">
        <v>366</v>
      </c>
      <c r="B692" s="49" t="s">
        <v>523</v>
      </c>
      <c r="C692" s="50">
        <v>61939</v>
      </c>
      <c r="D692" s="51">
        <v>65817</v>
      </c>
      <c r="E692" s="52">
        <v>9704077699</v>
      </c>
      <c r="F692" s="43" t="s">
        <v>69</v>
      </c>
      <c r="G692" s="53">
        <v>109766</v>
      </c>
      <c r="H692" s="54" t="s">
        <v>70</v>
      </c>
      <c r="I692" s="54" t="s">
        <v>843</v>
      </c>
      <c r="J692" s="55" t="s">
        <v>72</v>
      </c>
      <c r="K692" s="54" t="s">
        <v>93</v>
      </c>
      <c r="L692" s="56">
        <f>40097+(6*364)</f>
        <v>42281</v>
      </c>
      <c r="M692" s="43">
        <f t="shared" ca="1" si="10"/>
        <v>10</v>
      </c>
    </row>
    <row r="693" spans="1:13" x14ac:dyDescent="0.3">
      <c r="A693" s="49" t="s">
        <v>760</v>
      </c>
      <c r="B693" s="49" t="s">
        <v>523</v>
      </c>
      <c r="C693" s="50">
        <v>95920</v>
      </c>
      <c r="D693" s="51">
        <v>68902</v>
      </c>
      <c r="E693" s="52">
        <v>7197061632</v>
      </c>
      <c r="F693" s="43" t="s">
        <v>81</v>
      </c>
      <c r="G693" s="53">
        <v>65780</v>
      </c>
      <c r="H693" s="54" t="s">
        <v>76</v>
      </c>
      <c r="I693" s="54" t="s">
        <v>615</v>
      </c>
      <c r="J693" s="55" t="s">
        <v>88</v>
      </c>
      <c r="K693" s="54" t="s">
        <v>79</v>
      </c>
      <c r="L693" s="56">
        <f>42604+(6*364)</f>
        <v>44788</v>
      </c>
      <c r="M693" s="43">
        <f t="shared" ca="1" si="10"/>
        <v>3</v>
      </c>
    </row>
    <row r="694" spans="1:13" x14ac:dyDescent="0.3">
      <c r="A694" s="49" t="s">
        <v>774</v>
      </c>
      <c r="B694" s="49" t="s">
        <v>523</v>
      </c>
      <c r="C694" s="50">
        <v>98820</v>
      </c>
      <c r="D694" s="51">
        <v>102857</v>
      </c>
      <c r="E694" s="52">
        <v>5058552110</v>
      </c>
      <c r="F694" s="43" t="s">
        <v>81</v>
      </c>
      <c r="G694" s="53">
        <v>100783</v>
      </c>
      <c r="H694" s="54" t="s">
        <v>70</v>
      </c>
      <c r="I694" s="54" t="s">
        <v>831</v>
      </c>
      <c r="J694" s="55" t="s">
        <v>72</v>
      </c>
      <c r="K694" s="54" t="s">
        <v>106</v>
      </c>
      <c r="L694" s="56">
        <f>39272+(6*364)</f>
        <v>41456</v>
      </c>
      <c r="M694" s="43">
        <f t="shared" ca="1" si="10"/>
        <v>12</v>
      </c>
    </row>
    <row r="695" spans="1:13" x14ac:dyDescent="0.3">
      <c r="A695" s="49" t="s">
        <v>255</v>
      </c>
      <c r="B695" s="49" t="s">
        <v>280</v>
      </c>
      <c r="C695" s="50">
        <v>11242</v>
      </c>
      <c r="D695" s="51">
        <v>95039</v>
      </c>
      <c r="E695" s="52">
        <v>7192381391</v>
      </c>
      <c r="F695" s="43"/>
      <c r="G695" s="53">
        <v>79198</v>
      </c>
      <c r="H695" s="54" t="s">
        <v>86</v>
      </c>
      <c r="I695" s="54" t="s">
        <v>739</v>
      </c>
      <c r="J695" s="55" t="s">
        <v>100</v>
      </c>
      <c r="K695" s="54" t="s">
        <v>136</v>
      </c>
      <c r="L695" s="56">
        <f>39975+(6*364)</f>
        <v>42159</v>
      </c>
      <c r="M695" s="43">
        <f t="shared" ca="1" si="10"/>
        <v>10</v>
      </c>
    </row>
    <row r="696" spans="1:13" x14ac:dyDescent="0.3">
      <c r="A696" s="49" t="s">
        <v>522</v>
      </c>
      <c r="B696" s="49" t="s">
        <v>280</v>
      </c>
      <c r="C696" s="50">
        <v>68937</v>
      </c>
      <c r="D696" s="51">
        <v>100802</v>
      </c>
      <c r="E696" s="52">
        <v>7191401774</v>
      </c>
      <c r="F696" s="43" t="s">
        <v>91</v>
      </c>
      <c r="G696" s="53">
        <v>119329</v>
      </c>
      <c r="H696" s="54" t="s">
        <v>70</v>
      </c>
      <c r="I696" s="54" t="s">
        <v>616</v>
      </c>
      <c r="J696" s="55" t="s">
        <v>72</v>
      </c>
      <c r="K696" s="54" t="s">
        <v>131</v>
      </c>
      <c r="L696" s="56">
        <f>40679+(6*364)</f>
        <v>42863</v>
      </c>
      <c r="M696" s="43">
        <f t="shared" ca="1" si="10"/>
        <v>8</v>
      </c>
    </row>
    <row r="697" spans="1:13" x14ac:dyDescent="0.3">
      <c r="A697" s="49" t="s">
        <v>538</v>
      </c>
      <c r="B697" s="49" t="s">
        <v>280</v>
      </c>
      <c r="C697" s="50">
        <v>19496</v>
      </c>
      <c r="D697" s="51">
        <v>69871</v>
      </c>
      <c r="E697" s="52">
        <v>9703089561</v>
      </c>
      <c r="F697" s="43" t="s">
        <v>91</v>
      </c>
      <c r="G697" s="53">
        <v>120135</v>
      </c>
      <c r="H697" s="54" t="s">
        <v>70</v>
      </c>
      <c r="I697" s="54" t="s">
        <v>832</v>
      </c>
      <c r="J697" s="55" t="s">
        <v>100</v>
      </c>
      <c r="K697" s="54" t="s">
        <v>79</v>
      </c>
      <c r="L697" s="56">
        <f>42562+(6*364)</f>
        <v>44746</v>
      </c>
      <c r="M697" s="43">
        <f t="shared" ca="1" si="10"/>
        <v>3</v>
      </c>
    </row>
    <row r="698" spans="1:13" x14ac:dyDescent="0.3">
      <c r="A698" s="49" t="s">
        <v>752</v>
      </c>
      <c r="B698" s="49" t="s">
        <v>280</v>
      </c>
      <c r="C698" s="50">
        <v>28171</v>
      </c>
      <c r="D698" s="51">
        <v>74549</v>
      </c>
      <c r="E698" s="52">
        <v>9708413271</v>
      </c>
      <c r="F698" s="43" t="s">
        <v>98</v>
      </c>
      <c r="G698" s="53">
        <v>126339</v>
      </c>
      <c r="H698" s="54" t="s">
        <v>70</v>
      </c>
      <c r="I698" s="54" t="s">
        <v>796</v>
      </c>
      <c r="J698" s="55" t="s">
        <v>88</v>
      </c>
      <c r="K698" s="54" t="s">
        <v>93</v>
      </c>
      <c r="L698" s="56">
        <f>42328+(6*364)</f>
        <v>44512</v>
      </c>
      <c r="M698" s="43">
        <f t="shared" ca="1" si="10"/>
        <v>4</v>
      </c>
    </row>
    <row r="699" spans="1:13" x14ac:dyDescent="0.3">
      <c r="A699" s="49" t="s">
        <v>847</v>
      </c>
      <c r="B699" s="49" t="s">
        <v>280</v>
      </c>
      <c r="C699" s="50">
        <v>65855</v>
      </c>
      <c r="D699" s="51">
        <v>43225</v>
      </c>
      <c r="E699" s="52">
        <v>7191854525</v>
      </c>
      <c r="F699" s="43" t="s">
        <v>98</v>
      </c>
      <c r="G699" s="53">
        <v>126437</v>
      </c>
      <c r="H699" s="54" t="s">
        <v>76</v>
      </c>
      <c r="I699" s="54" t="s">
        <v>844</v>
      </c>
      <c r="J699" s="55" t="s">
        <v>72</v>
      </c>
      <c r="K699" s="54" t="s">
        <v>93</v>
      </c>
      <c r="L699" s="56">
        <f>41788+(6*364)</f>
        <v>43972</v>
      </c>
      <c r="M699" s="43">
        <f t="shared" ca="1" si="10"/>
        <v>5</v>
      </c>
    </row>
    <row r="700" spans="1:13" x14ac:dyDescent="0.3">
      <c r="D700" s="51"/>
    </row>
    <row r="701" spans="1:13" x14ac:dyDescent="0.3">
      <c r="D701" s="51"/>
    </row>
    <row r="702" spans="1:13" x14ac:dyDescent="0.3">
      <c r="D702" s="51"/>
    </row>
    <row r="703" spans="1:13" x14ac:dyDescent="0.3">
      <c r="D703" s="51"/>
    </row>
    <row r="704" spans="1:13" x14ac:dyDescent="0.3">
      <c r="D704" s="51"/>
    </row>
    <row r="705" spans="4:4" x14ac:dyDescent="0.3">
      <c r="D705" s="51"/>
    </row>
    <row r="706" spans="4:4" x14ac:dyDescent="0.3">
      <c r="D706" s="51"/>
    </row>
    <row r="707" spans="4:4" x14ac:dyDescent="0.3">
      <c r="D707" s="51"/>
    </row>
    <row r="708" spans="4:4" x14ac:dyDescent="0.3">
      <c r="D708" s="51"/>
    </row>
    <row r="709" spans="4:4" x14ac:dyDescent="0.3">
      <c r="D709" s="51"/>
    </row>
    <row r="710" spans="4:4" x14ac:dyDescent="0.3">
      <c r="D710" s="51"/>
    </row>
    <row r="711" spans="4:4" x14ac:dyDescent="0.3">
      <c r="D711" s="51"/>
    </row>
    <row r="712" spans="4:4" x14ac:dyDescent="0.3">
      <c r="D712" s="51"/>
    </row>
    <row r="713" spans="4:4" x14ac:dyDescent="0.3">
      <c r="D713" s="51"/>
    </row>
    <row r="714" spans="4:4" x14ac:dyDescent="0.3">
      <c r="D714" s="51"/>
    </row>
    <row r="715" spans="4:4" x14ac:dyDescent="0.3">
      <c r="D715" s="51"/>
    </row>
    <row r="716" spans="4:4" x14ac:dyDescent="0.3">
      <c r="D716" s="51"/>
    </row>
    <row r="717" spans="4:4" x14ac:dyDescent="0.3">
      <c r="D717" s="51"/>
    </row>
    <row r="718" spans="4:4" x14ac:dyDescent="0.3">
      <c r="D718" s="51"/>
    </row>
    <row r="719" spans="4:4" x14ac:dyDescent="0.3">
      <c r="D719" s="51"/>
    </row>
    <row r="720" spans="4:4" x14ac:dyDescent="0.3">
      <c r="D720" s="5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Formulas</vt:lpstr>
      <vt:lpstr>CopyFormulas</vt:lpstr>
      <vt:lpstr>YTD and Pct Increase</vt:lpstr>
      <vt:lpstr>Absolute</vt:lpstr>
      <vt:lpstr>SUM AVERAGE</vt:lpstr>
      <vt:lpstr>Functions-Before XLOOKUP</vt:lpstr>
      <vt:lpstr>Functions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Ben Vivante</cp:lastModifiedBy>
  <dcterms:created xsi:type="dcterms:W3CDTF">2012-12-16T23:20:30Z</dcterms:created>
  <dcterms:modified xsi:type="dcterms:W3CDTF">2025-12-17T14:38:35Z</dcterms:modified>
</cp:coreProperties>
</file>